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Z:\2. ACTIVE PROJECTS\Vintage - Seasons\CDLAC-CTCAC Folder\2026 CDLAC-CTCAC E-APP ROUND 2\"/>
    </mc:Choice>
  </mc:AlternateContent>
  <xr:revisionPtr revIDLastSave="0" documentId="13_ncr:1_{35CE6F9C-2365-41B4-8D32-9B34E17911FB}"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7520" tabRatio="889"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4" i="7" l="1"/>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BB6" i="24" a="1"/>
  <c r="BB6" i="24" s="1"/>
  <c r="AT22" i="24" l="1"/>
  <c r="BB4" i="24" a="1"/>
  <c r="BB4" i="24" s="1"/>
  <c r="BB5" i="24"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BE106" i="3"/>
  <c r="BE107" i="3"/>
  <c r="BE108" i="3"/>
  <c r="BE109" i="3"/>
  <c r="BE110" i="3"/>
  <c r="BE105" i="3"/>
  <c r="BE64" i="3"/>
  <c r="T826" i="20" l="1"/>
  <c r="AF826" i="20" s="1"/>
  <c r="G37" i="2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B26" i="13" s="1"/>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X739" i="3"/>
  <c r="X740" i="3"/>
  <c r="X741" i="3"/>
  <c r="X742" i="3"/>
  <c r="X743" i="3"/>
  <c r="X744" i="3"/>
  <c r="X745" i="3"/>
  <c r="X746" i="3"/>
  <c r="X747" i="3"/>
  <c r="X748" i="3"/>
  <c r="X749" i="3"/>
  <c r="M840" i="3"/>
  <c r="Q840" i="3"/>
  <c r="U840" i="3"/>
  <c r="Y840" i="3"/>
  <c r="AC840" i="3"/>
  <c r="AG840" i="3"/>
  <c r="Z911" i="3"/>
  <c r="B26" i="4" l="1"/>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M58" i="7"/>
  <c r="BA1048" i="3"/>
  <c r="BA1057" i="3" s="1" a="1"/>
  <c r="BA1057" i="3" s="1"/>
  <c r="AZ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5"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0" i="21" l="1"/>
  <c r="P20" i="21" s="1" a="1"/>
  <c r="P20" i="21" s="1"/>
  <c r="S20"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G45" i="21"/>
  <c r="G47" i="21" s="1"/>
  <c r="E10" i="21" s="1"/>
  <c r="E11" i="21"/>
  <c r="AP718" i="20"/>
  <c r="AP719" i="20"/>
  <c r="I4" i="7"/>
  <c r="I5" i="7" s="1"/>
  <c r="K9" i="7"/>
  <c r="E11" i="7"/>
  <c r="E37" i="7" s="1"/>
  <c r="E49" i="7" s="1"/>
  <c r="AJ1001" i="3"/>
  <c r="AJ1038" i="3" s="1"/>
  <c r="E137" i="20"/>
  <c r="E138" i="20" s="1"/>
  <c r="AK142" i="20" s="1"/>
  <c r="AB1000" i="3"/>
  <c r="DU810" i="3"/>
  <c r="U386" i="20" s="1"/>
  <c r="P430" i="3"/>
  <c r="I6" i="7"/>
  <c r="G7" i="7"/>
  <c r="G11" i="7" s="1"/>
  <c r="G37" i="7" s="1"/>
  <c r="M22" i="7"/>
  <c r="M35" i="7" s="1"/>
  <c r="O15" i="7"/>
  <c r="M9" i="7"/>
  <c r="O8" i="7"/>
  <c r="G27" i="21"/>
  <c r="F26" i="21"/>
  <c r="AC465" i="3" l="1"/>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Y64" i="15" l="1"/>
  <c r="Y68" i="15" s="1"/>
  <c r="Y69" i="15" s="1"/>
  <c r="T26" i="15"/>
  <c r="T28" i="15" s="1"/>
  <c r="T29" i="15" s="1"/>
  <c r="AP567" i="20"/>
  <c r="G94" i="21"/>
  <c r="E15" i="21" s="1"/>
  <c r="W58" i="7"/>
  <c r="T24" i="15"/>
  <c r="AP570" i="20"/>
  <c r="AP569" i="20" s="1"/>
  <c r="K11" i="7"/>
  <c r="K37" i="7" s="1"/>
  <c r="K45" i="7" s="1"/>
  <c r="O5" i="7"/>
  <c r="Q4" i="7"/>
  <c r="M7" i="7"/>
  <c r="M11" i="7" s="1"/>
  <c r="M37" i="7" s="1"/>
  <c r="O6" i="7"/>
  <c r="G62" i="7"/>
  <c r="I48" i="7"/>
  <c r="I60" i="7"/>
  <c r="I47" i="7"/>
  <c r="G115" i="21"/>
  <c r="G127" i="21"/>
  <c r="G111" i="21"/>
  <c r="S22" i="7"/>
  <c r="S35" i="7" s="1"/>
  <c r="U15" i="7"/>
  <c r="U8" i="7"/>
  <c r="S9" i="7"/>
  <c r="AP572" i="20" l="1"/>
  <c r="AF565" i="20" s="1"/>
  <c r="AF566" i="20" s="1"/>
  <c r="AK572" i="20" s="1"/>
  <c r="T840" i="20" s="1"/>
  <c r="AF840" i="20" s="1"/>
  <c r="BE81" i="3" s="1"/>
  <c r="Y38" i="15"/>
  <c r="Y40" i="15" s="1"/>
  <c r="Y58" i="7"/>
  <c r="AD38" i="15"/>
  <c r="AD40" i="15" s="1"/>
  <c r="G129" i="21"/>
  <c r="E17" i="21" s="1"/>
  <c r="E14" i="21" s="1"/>
  <c r="E18" i="21" s="1"/>
  <c r="K49" i="7"/>
  <c r="E70" i="7"/>
  <c r="E72" i="7" s="1"/>
  <c r="S4" i="7"/>
  <c r="Q5" i="7"/>
  <c r="G70" i="7"/>
  <c r="G72" i="7" s="1"/>
  <c r="O7" i="7"/>
  <c r="O11" i="7" s="1"/>
  <c r="O37" i="7" s="1"/>
  <c r="Q6" i="7"/>
  <c r="M45" i="7"/>
  <c r="M49" i="7"/>
  <c r="I62" i="7"/>
  <c r="K47" i="7"/>
  <c r="K60" i="7"/>
  <c r="K48" i="7"/>
  <c r="U22" i="7"/>
  <c r="U35" i="7" s="1"/>
  <c r="W15" i="7"/>
  <c r="U9" i="7"/>
  <c r="W8" i="7"/>
  <c r="Y41" i="15" l="1"/>
  <c r="AB56" i="15" s="1"/>
  <c r="M26" i="3" s="1"/>
  <c r="AA58" i="7"/>
  <c r="U4" i="7"/>
  <c r="S5" i="7"/>
  <c r="M48" i="7"/>
  <c r="M47" i="7"/>
  <c r="M60" i="7"/>
  <c r="O45" i="7"/>
  <c r="O49" i="7"/>
  <c r="K62" i="7"/>
  <c r="Q7" i="7"/>
  <c r="Q11" i="7" s="1"/>
  <c r="Q37" i="7" s="1"/>
  <c r="S6" i="7"/>
  <c r="I70" i="7"/>
  <c r="I72" i="7" s="1"/>
  <c r="W22" i="7"/>
  <c r="W35" i="7" s="1"/>
  <c r="Y15" i="7"/>
  <c r="W9" i="7"/>
  <c r="Y8" i="7"/>
  <c r="BE19" i="3" l="1"/>
  <c r="AC58" i="7"/>
  <c r="AB57" i="15"/>
  <c r="P204" i="3"/>
  <c r="U5" i="7"/>
  <c r="W4" i="7"/>
  <c r="Q49" i="7"/>
  <c r="Q45" i="7"/>
  <c r="M62" i="7"/>
  <c r="O47" i="7"/>
  <c r="O48" i="7"/>
  <c r="O60" i="7"/>
  <c r="K70" i="7"/>
  <c r="K72" i="7" s="1"/>
  <c r="S7" i="7"/>
  <c r="S11" i="7" s="1"/>
  <c r="S37" i="7" s="1"/>
  <c r="U6" i="7"/>
  <c r="Y22" i="7"/>
  <c r="Y35" i="7" s="1"/>
  <c r="AA15" i="7"/>
  <c r="Y9" i="7"/>
  <c r="AA8" i="7"/>
  <c r="AG58" i="7" l="1"/>
  <c r="AE58" i="7"/>
  <c r="AB59" i="15"/>
  <c r="AB77" i="15" s="1"/>
  <c r="AB78" i="15" s="1"/>
  <c r="I10" i="21" s="1"/>
  <c r="M70" i="7"/>
  <c r="M72" i="7" s="1"/>
  <c r="W5" i="7"/>
  <c r="Y4" i="7"/>
  <c r="U7" i="7"/>
  <c r="U11" i="7" s="1"/>
  <c r="U37" i="7" s="1"/>
  <c r="W6" i="7"/>
  <c r="O62" i="7"/>
  <c r="Q60" i="7"/>
  <c r="Q48" i="7"/>
  <c r="Q47" i="7"/>
  <c r="S49" i="7"/>
  <c r="S45" i="7"/>
  <c r="AC15" i="7"/>
  <c r="AA22" i="7"/>
  <c r="AA35" i="7" s="1"/>
  <c r="AC8" i="7"/>
  <c r="AA9" i="7"/>
  <c r="AB79" i="15" l="1"/>
  <c r="AA4" i="7"/>
  <c r="Y5" i="7"/>
  <c r="Y6" i="7"/>
  <c r="W7" i="7"/>
  <c r="W11" i="7" s="1"/>
  <c r="W37" i="7" s="1"/>
  <c r="U45" i="7"/>
  <c r="U49" i="7"/>
  <c r="Q62" i="7"/>
  <c r="S48" i="7"/>
  <c r="S47" i="7"/>
  <c r="S60" i="7"/>
  <c r="O70" i="7"/>
  <c r="O72" i="7" s="1"/>
  <c r="AE15" i="7"/>
  <c r="AC22" i="7"/>
  <c r="AC35" i="7" s="1"/>
  <c r="AC9" i="7"/>
  <c r="AE8" i="7"/>
  <c r="AB81" i="15" l="1"/>
  <c r="J82" i="15" s="1"/>
  <c r="M27" i="3"/>
  <c r="I11" i="21"/>
  <c r="I18" i="21" s="1"/>
  <c r="AA5" i="7"/>
  <c r="AC4" i="7"/>
  <c r="S62" i="7"/>
  <c r="U48" i="7"/>
  <c r="U60" i="7"/>
  <c r="U47" i="7"/>
  <c r="Q70" i="7"/>
  <c r="Q72" i="7" s="1"/>
  <c r="W49" i="7"/>
  <c r="W45" i="7"/>
  <c r="Y7" i="7"/>
  <c r="Y11" i="7" s="1"/>
  <c r="Y37" i="7" s="1"/>
  <c r="AA6" i="7"/>
  <c r="AE22" i="7"/>
  <c r="AE35" i="7" s="1"/>
  <c r="AG15" i="7"/>
  <c r="AG22" i="7" s="1"/>
  <c r="AG35" i="7" s="1"/>
  <c r="AE9" i="7"/>
  <c r="AG8" i="7"/>
  <c r="AG9" i="7" s="1"/>
  <c r="U67" i="7" l="1"/>
  <c r="U66" i="7"/>
  <c r="BE20" i="3"/>
  <c r="H4" i="21"/>
  <c r="P205" i="3"/>
  <c r="S70" i="7"/>
  <c r="S72" i="7" s="1"/>
  <c r="AC5" i="7"/>
  <c r="AE4" i="7"/>
  <c r="AC6" i="7"/>
  <c r="AA7" i="7"/>
  <c r="AA11" i="7" s="1"/>
  <c r="AA37" i="7" s="1"/>
  <c r="Y49" i="7"/>
  <c r="Y45" i="7"/>
  <c r="W60" i="7"/>
  <c r="W47" i="7"/>
  <c r="W48" i="7"/>
  <c r="W66" i="7" l="1"/>
  <c r="W67" i="7"/>
  <c r="AE5" i="7"/>
  <c r="AG4" i="7"/>
  <c r="AA45" i="7"/>
  <c r="AA49" i="7"/>
  <c r="U70" i="7"/>
  <c r="U72" i="7" s="1"/>
  <c r="Y47" i="7"/>
  <c r="Y48" i="7"/>
  <c r="Y60" i="7"/>
  <c r="AE6" i="7"/>
  <c r="AC7" i="7"/>
  <c r="AC11" i="7" s="1"/>
  <c r="AC37" i="7" s="1"/>
  <c r="Y67" i="7" l="1"/>
  <c r="Y66" i="7"/>
  <c r="AG5" i="7"/>
  <c r="W70" i="7"/>
  <c r="W72" i="7" s="1"/>
  <c r="AA60" i="7"/>
  <c r="AA47" i="7"/>
  <c r="AA48" i="7"/>
  <c r="AC45" i="7"/>
  <c r="AC49" i="7"/>
  <c r="AE7" i="7"/>
  <c r="AE11" i="7" s="1"/>
  <c r="AE37" i="7" s="1"/>
  <c r="AG6" i="7"/>
  <c r="AA66" i="7" l="1"/>
  <c r="AA67" i="7"/>
  <c r="Y70" i="7"/>
  <c r="Y72" i="7" s="1"/>
  <c r="AG7" i="7"/>
  <c r="AG11" i="7" s="1"/>
  <c r="AG37" i="7" s="1"/>
  <c r="AE49" i="7"/>
  <c r="AE45" i="7"/>
  <c r="AC60" i="7"/>
  <c r="AC48" i="7"/>
  <c r="AC47" i="7"/>
  <c r="AC67" i="7" l="1"/>
  <c r="AC66" i="7"/>
  <c r="AA70" i="7"/>
  <c r="AA72" i="7" s="1"/>
  <c r="AE47" i="7"/>
  <c r="AE60" i="7"/>
  <c r="AE48" i="7"/>
  <c r="AG49" i="7"/>
  <c r="AG45" i="7"/>
  <c r="AE67" i="7" l="1"/>
  <c r="AE66" i="7"/>
  <c r="AG48" i="7"/>
  <c r="AG60" i="7"/>
  <c r="AG47" i="7"/>
  <c r="AC70" i="7"/>
  <c r="AC72" i="7" s="1"/>
  <c r="AG67" i="7" l="1"/>
  <c r="AG66" i="7"/>
  <c r="AE70" i="7"/>
  <c r="AE72" i="7" s="1"/>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<sst xmlns="http://schemas.openxmlformats.org/spreadsheetml/2006/main" count="5095" uniqueCount="2794">
  <si>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</si>
  <si>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</si>
  <si>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</si>
  <si>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</si>
  <si>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</si>
  <si>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</si>
  <si>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</si>
  <si>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</si>
  <si>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</si>
  <si>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</si>
  <si>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</si>
  <si>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</si>
  <si>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</si>
  <si>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</si>
  <si>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</si>
  <si>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</si>
  <si>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</si>
  <si>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</si>
  <si>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</si>
  <si>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</si>
  <si>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</si>
  <si>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</si>
  <si>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</si>
  <si>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</si>
  <si>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</si>
  <si>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</si>
  <si>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</si>
  <si>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</si>
  <si>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</si>
  <si>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</si>
  <si>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</si>
  <si>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</si>
  <si>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</si>
  <si>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</si>
  <si>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</si>
  <si>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</si>
  <si>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</si>
  <si>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</si>
  <si>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</si>
  <si>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</si>
  <si>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</si>
  <si>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</si>
  <si>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</si>
  <si>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</si>
  <si>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</si>
  <si>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</si>
  <si>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</si>
  <si>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</si>
  <si>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</si>
  <si>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</si>
  <si>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</si>
  <si>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</si>
  <si>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</si>
  <si>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</si>
  <si>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</si>
  <si>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</si>
  <si>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</si>
  <si>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</si>
  <si>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</si>
  <si>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</si>
  <si>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</si>
  <si>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</si>
  <si>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</si>
  <si>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</si>
  <si>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</si>
  <si>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</si>
  <si>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</si>
  <si>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</si>
  <si>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</si>
  <si>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</si>
  <si>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</si>
  <si>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</si>
  <si>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</si>
  <si>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</si>
  <si>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</si>
  <si>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</si>
  <si>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</si>
  <si>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</si>
  <si>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</si>
  <si>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</si>
  <si>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</si>
  <si>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</si>
  <si>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</si>
  <si>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</si>
  <si>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</si>
  <si>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</si>
  <si>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</si>
  <si>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</si>
  <si>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</si>
  <si>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</si>
  <si>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</si>
  <si>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</si>
  <si>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</si>
  <si>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</si>
  <si>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</si>
  <si>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</si>
  <si>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</si>
  <si>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</si>
  <si>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</si>
  <si>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</si>
  <si>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</si>
  <si>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</si>
  <si>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</si>
  <si>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</si>
  <si>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</si>
  <si>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</si>
  <si>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</si>
  <si>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</si>
  <si>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</si>
  <si>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</si>
  <si>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</si>
  <si>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</si>
  <si>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</si>
  <si>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</si>
  <si>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</si>
  <si>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</si>
  <si>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</si>
  <si>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</si>
  <si>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</si>
  <si>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</si>
  <si>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</si>
  <si>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</si>
  <si>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</si>
  <si>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</si>
  <si>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</si>
  <si>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</si>
  <si>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</si>
  <si>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</si>
  <si>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</si>
  <si>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</si>
  <si>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</si>
  <si>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</si>
  <si>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</si>
  <si>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</si>
  <si>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</si>
  <si>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</si>
  <si>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</si>
  <si>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</si>
  <si>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</si>
  <si>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</si>
  <si>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</si>
  <si>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</si>
  <si>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</si>
  <si>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</si>
  <si>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</si>
  <si>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</si>
  <si>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</si>
  <si>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</si>
  <si>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</si>
  <si>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</si>
  <si>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</si>
  <si>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</si>
  <si>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</si>
  <si>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</si>
  <si>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</si>
  <si>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</si>
  <si>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</si>
  <si>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</si>
  <si>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</si>
  <si>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</si>
  <si>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</si>
  <si>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</si>
  <si>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</si>
  <si>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</si>
  <si>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</si>
  <si>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</si>
  <si>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</si>
  <si>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</si>
  <si>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</si>
  <si>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</si>
  <si>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</si>
  <si>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</si>
  <si>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</si>
  <si>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</si>
  <si>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</si>
  <si>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</si>
  <si>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</si>
  <si>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</si>
  <si>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</si>
  <si>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</si>
  <si>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</si>
  <si>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</si>
  <si>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</si>
  <si>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</si>
  <si>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</si>
  <si>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</si>
  <si>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</si>
  <si>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</si>
  <si>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</si>
  <si>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</si>
  <si>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</si>
  <si>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</si>
  <si>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</si>
  <si>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</si>
  <si>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</si>
  <si>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</si>
  <si>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</si>
  <si>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</si>
  <si>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</si>
  <si>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</si>
  <si>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</si>
  <si>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</si>
  <si>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</si>
  <si>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</si>
  <si>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</si>
  <si>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</si>
  <si>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</si>
  <si>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</si>
  <si>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</si>
  <si>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</si>
  <si>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</si>
  <si>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</si>
  <si>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</si>
  <si>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</si>
  <si>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</si>
  <si>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</si>
  <si>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</si>
  <si>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</si>
  <si>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</si>
  <si>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</si>
  <si>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</si>
  <si>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</si>
  <si>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</si>
  <si>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</si>
  <si>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</si>
  <si>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</si>
  <si>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</si>
  <si>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</si>
  <si>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</si>
  <si>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</si>
  <si>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</si>
  <si>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</si>
  <si>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</si>
  <si>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</si>
  <si>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</si>
  <si>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</si>
  <si>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</si>
  <si>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</si>
  <si>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</si>
  <si>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</si>
  <si>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</si>
  <si>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</si>
  <si>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</si>
  <si>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</si>
  <si>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</si>
  <si>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</si>
  <si>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</si>
  <si>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</si>
  <si>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</si>
  <si>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</si>
  <si>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</si>
  <si>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</si>
  <si>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</si>
  <si>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</si>
  <si>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</si>
  <si>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</si>
  <si>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</si>
  <si>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</si>
  <si>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</si>
  <si>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</si>
  <si>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</si>
  <si>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</si>
  <si>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</si>
  <si>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</si>
  <si>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</si>
  <si>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</si>
  <si>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</si>
  <si>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</si>
  <si>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</si>
  <si>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</si>
  <si>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</si>
  <si>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</si>
  <si>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</si>
  <si>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</si>
  <si>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</si>
  <si>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</si>
  <si>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</si>
  <si>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</si>
  <si>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</si>
  <si>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</si>
  <si>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</si>
  <si>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</si>
  <si>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</si>
  <si>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</si>
  <si>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</si>
  <si>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</si>
  <si>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</si>
  <si>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</si>
  <si>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</si>
  <si>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</si>
  <si>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</si>
  <si>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</si>
  <si>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</si>
  <si>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</si>
  <si>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</si>
  <si>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</si>
  <si>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</si>
  <si>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</si>
  <si>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</si>
  <si>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</si>
  <si>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</si>
  <si>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</si>
  <si>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</si>
  <si>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</si>
  <si>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</si>
  <si>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</si>
  <si>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</si>
  <si>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</si>
  <si>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</si>
  <si>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</si>
  <si>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</si>
  <si>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</si>
  <si>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</si>
  <si>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</si>
  <si>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</si>
  <si>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</si>
  <si>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</si>
  <si>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</si>
  <si>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</si>
  <si>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</si>
  <si>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</si>
  <si>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</si>
  <si>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</si>
  <si>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</si>
  <si>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</si>
  <si>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</si>
  <si>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</si>
  <si>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</si>
  <si>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</si>
  <si>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</si>
  <si>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</si>
  <si>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</si>
  <si>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</si>
  <si>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</si>
  <si>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</si>
  <si>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</si>
  <si>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</si>
  <si>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</si>
  <si>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</si>
  <si>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</si>
  <si>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</si>
  <si>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</si>
  <si>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</si>
  <si>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</si>
  <si>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</si>
  <si>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</si>
  <si>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</si>
  <si>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</si>
  <si>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</si>
  <si>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</si>
  <si>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</si>
  <si>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</si>
  <si>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</si>
  <si>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</si>
  <si>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</si>
  <si>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</si>
  <si>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</si>
  <si>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</si>
  <si>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</si>
  <si>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</si>
  <si>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</si>
  <si>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</si>
  <si>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</si>
  <si>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</si>
  <si>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</si>
  <si>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</si>
  <si>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</si>
  <si>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</si>
  <si>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</si>
  <si>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</si>
  <si>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</si>
  <si>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</si>
  <si>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</si>
  <si>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</si>
  <si>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</si>
  <si>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</si>
  <si>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</si>
  <si>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</si>
  <si>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</si>
  <si>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</si>
  <si>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</si>
  <si>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</si>
  <si>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</si>
  <si>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</si>
  <si>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</si>
  <si>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</si>
  <si>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</si>
  <si>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</si>
  <si>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</si>
  <si>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</si>
  <si>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</si>
  <si>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</si>
  <si>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</si>
  <si>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</si>
  <si>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</si>
  <si>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</si>
  <si>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</si>
  <si>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</si>
  <si>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</si>
  <si>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</si>
  <si>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</si>
  <si>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</si>
  <si>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</si>
  <si>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</si>
  <si>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</si>
  <si>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</si>
  <si>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</si>
  <si>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</si>
  <si>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</si>
  <si>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</si>
  <si>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</si>
  <si>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</si>
  <si>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</si>
  <si>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</si>
  <si>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</si>
  <si>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</si>
  <si>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</si>
  <si>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</si>
  <si>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</si>
  <si>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</si>
  <si>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</si>
  <si>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</si>
  <si>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</si>
  <si>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</si>
  <si>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</si>
  <si>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</si>
  <si>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</si>
  <si>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</si>
  <si>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</si>
  <si>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</si>
  <si>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</si>
  <si>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</si>
  <si>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</si>
  <si>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</si>
  <si>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</si>
  <si>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</si>
  <si>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</si>
  <si>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</si>
  <si>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</si>
  <si>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</si>
  <si>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</si>
  <si>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</si>
  <si>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</si>
  <si>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</si>
  <si>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</si>
  <si>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</si>
  <si>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</si>
  <si>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</si>
  <si>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</si>
  <si>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</si>
  <si>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</si>
  <si>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</si>
  <si>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</si>
  <si>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</si>
  <si>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</si>
  <si>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</si>
  <si>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</si>
  <si>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</si>
  <si>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</si>
  <si>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</si>
  <si>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</si>
  <si>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</si>
  <si>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</si>
  <si>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</si>
  <si>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</si>
  <si>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</si>
  <si>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</si>
  <si>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</si>
  <si>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</si>
  <si>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</si>
  <si>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</si>
  <si>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</si>
  <si>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</si>
  <si>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</si>
  <si>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</si>
  <si>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</si>
  <si>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</si>
  <si>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</si>
  <si>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</si>
  <si>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</si>
  <si>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</si>
  <si>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</si>
  <si>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</si>
  <si>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</si>
  <si>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</si>
  <si>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</si>
  <si>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</si>
  <si>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</si>
  <si>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</si>
  <si>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</si>
  <si>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</si>
  <si>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</si>
  <si>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</si>
  <si>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</si>
  <si>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</si>
  <si>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</si>
  <si>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</si>
  <si>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</si>
  <si>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</si>
  <si>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</si>
  <si>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</si>
  <si>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</si>
  <si>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</si>
  <si>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</si>
  <si>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</si>
  <si>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</si>
  <si>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</si>
  <si>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</si>
  <si>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</si>
  <si>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</si>
  <si>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</si>
  <si>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</si>
  <si>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</si>
  <si>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</si>
  <si>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</si>
  <si>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</si>
  <si>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</si>
  <si>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</si>
  <si>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</si>
  <si>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</si>
  <si>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</si>
  <si>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</si>
  <si>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</si>
  <si>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</si>
  <si>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</si>
  <si>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</si>
  <si>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</si>
  <si>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</si>
  <si>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</si>
  <si>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</si>
  <si>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</si>
  <si>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</si>
  <si>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</si>
  <si>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</si>
  <si>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</si>
  <si>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</si>
  <si>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</si>
  <si>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</si>
  <si>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</si>
  <si>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</si>
  <si>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</si>
  <si>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</si>
  <si>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</si>
  <si>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</si>
  <si>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</si>
  <si>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</si>
  <si>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</si>
  <si>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</si>
  <si>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</si>
  <si>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</si>
  <si>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</si>
  <si>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</si>
  <si>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</si>
  <si>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</si>
  <si>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</si>
  <si>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</si>
  <si>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</si>
  <si>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</si>
  <si>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</si>
  <si>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</si>
  <si>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</si>
  <si>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</si>
  <si>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</si>
  <si>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</si>
  <si>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</si>
  <si>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</si>
  <si>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</si>
  <si>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</si>
  <si>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</si>
  <si>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</si>
  <si>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</si>
  <si>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</si>
  <si>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</si>
  <si>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</si>
  <si>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</si>
  <si>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</si>
  <si>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</si>
  <si>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</si>
  <si>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</si>
  <si>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</si>
  <si>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</si>
  <si>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</si>
  <si>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</si>
  <si>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</si>
  <si>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</si>
  <si>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</si>
  <si>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</si>
  <si>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</si>
  <si>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</si>
  <si>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</si>
  <si>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</si>
  <si>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</si>
  <si>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</si>
  <si>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</si>
  <si>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</si>
  <si>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</si>
  <si>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</si>
  <si>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</si>
  <si>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</si>
  <si>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</si>
  <si>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</si>
  <si>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</si>
  <si>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</si>
  <si>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</si>
  <si>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</si>
  <si>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</si>
  <si>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</si>
  <si>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</si>
  <si>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</si>
  <si>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</si>
  <si>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</si>
  <si>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</si>
  <si>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</si>
  <si>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</si>
  <si>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</si>
  <si>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</si>
  <si>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</si>
  <si>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</si>
  <si>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</si>
  <si>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</si>
  <si>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</si>
  <si>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</si>
  <si>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</si>
  <si>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</si>
  <si>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</si>
  <si>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</si>
  <si>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</si>
  <si>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</si>
  <si>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</si>
  <si>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</si>
  <si>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</si>
  <si>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</si>
  <si>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</si>
  <si>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</si>
  <si>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</si>
  <si>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</si>
  <si>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</si>
  <si>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</si>
  <si>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</si>
  <si>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</si>
  <si>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</si>
  <si>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</si>
  <si>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</si>
  <si>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</si>
  <si>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</si>
  <si>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</si>
  <si>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</si>
  <si>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</si>
  <si>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</si>
  <si>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</si>
  <si>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</si>
  <si>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</si>
  <si>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</si>
  <si>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</si>
  <si>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</si>
  <si>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</si>
  <si>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</si>
  <si>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</si>
  <si>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</si>
  <si>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</si>
  <si>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</si>
  <si>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</si>
  <si>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</si>
  <si>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</si>
  <si>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</si>
  <si>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</si>
  <si>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</si>
  <si>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</si>
  <si>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</si>
  <si>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</si>
  <si>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</si>
  <si>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</si>
  <si>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</si>
  <si>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</si>
  <si>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</si>
  <si>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</si>
  <si>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</si>
  <si>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</si>
  <si>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</si>
  <si>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</si>
  <si>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</si>
  <si>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</si>
  <si>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</si>
  <si>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</si>
  <si>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</si>
  <si>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</si>
  <si>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</si>
  <si>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</si>
  <si>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</si>
  <si>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</si>
  <si>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</si>
  <si>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</si>
  <si>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</si>
  <si>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</si>
  <si>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</si>
  <si>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</si>
  <si>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</si>
  <si>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</si>
  <si>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</si>
  <si>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</si>
  <si>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</si>
  <si>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</si>
  <si>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</si>
  <si>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</si>
  <si>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</si>
  <si>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</si>
  <si>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</si>
  <si>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</si>
  <si>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</si>
  <si>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</si>
  <si>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</si>
  <si>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</si>
  <si>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</si>
  <si>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</si>
  <si>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</si>
  <si>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</si>
  <si>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</si>
  <si>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</si>
  <si>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</si>
  <si>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</si>
  <si>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</si>
  <si>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</si>
  <si>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</si>
  <si>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</si>
  <si>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</si>
  <si>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</si>
  <si>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</si>
  <si>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</si>
  <si>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</si>
  <si>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</si>
  <si>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</si>
  <si>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</si>
  <si>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</si>
  <si>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</si>
  <si>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</si>
  <si>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</si>
  <si>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</si>
  <si>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</si>
  <si>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</si>
  <si>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</si>
  <si>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</si>
  <si>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</si>
  <si>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</si>
  <si>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</si>
  <si>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</si>
  <si>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</si>
  <si>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</si>
  <si>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</si>
  <si>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</si>
  <si>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</si>
  <si>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</si>
  <si>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</si>
  <si>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</si>
  <si>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</si>
  <si>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</si>
  <si>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</si>
  <si>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</si>
  <si>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</si>
  <si>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</si>
  <si>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</si>
  <si>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</si>
  <si>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</si>
  <si>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</si>
  <si>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</si>
  <si>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</si>
  <si>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</si>
  <si>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</si>
  <si>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</si>
  <si>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</si>
  <si>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</si>
  <si>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</si>
  <si>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</si>
  <si>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</si>
  <si>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</si>
  <si>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</si>
  <si>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</si>
  <si>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</si>
  <si>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</si>
  <si>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</si>
  <si>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</si>
  <si>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</si>
  <si>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</si>
  <si>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</si>
  <si>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</si>
  <si>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</si>
  <si>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</si>
  <si>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</si>
  <si>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</si>
  <si>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</si>
  <si>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</si>
  <si>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</si>
  <si>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</si>
  <si>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</si>
  <si>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</si>
  <si>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</si>
  <si>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</si>
  <si>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</si>
  <si>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</si>
  <si>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</si>
  <si>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</si>
  <si>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</si>
  <si>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</si>
  <si>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</si>
  <si>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</si>
  <si>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</si>
  <si>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</si>
  <si>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</si>
  <si>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</si>
  <si>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</si>
  <si>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</si>
  <si>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</si>
  <si>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</si>
  <si>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</si>
  <si>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</si>
  <si>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</si>
  <si>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</si>
  <si>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</si>
  <si>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</si>
  <si>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</si>
  <si>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</si>
  <si>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</si>
  <si>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</si>
  <si>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</si>
  <si>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</si>
  <si>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</si>
  <si>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</si>
  <si>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</si>
  <si>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</si>
  <si>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</si>
  <si>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</si>
  <si>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</si>
  <si>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</si>
  <si>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</si>
  <si>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</si>
  <si>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</si>
  <si>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</si>
  <si>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</si>
  <si>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</si>
  <si>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</si>
  <si>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</si>
  <si>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</si>
  <si>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</si>
  <si>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</si>
  <si>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</si>
  <si>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</si>
  <si>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</si>
  <si>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</si>
  <si>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</si>
  <si>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</si>
  <si>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</si>
  <si>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</si>
  <si>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</si>
  <si>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</si>
  <si>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</si>
  <si>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</si>
  <si>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</si>
  <si>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</si>
  <si>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</si>
  <si>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</si>
  <si>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</si>
  <si>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</si>
  <si>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</si>
  <si>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</si>
  <si>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</si>
  <si>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</si>
  <si>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</si>
  <si>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</si>
  <si>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</si>
  <si>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</si>
  <si>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</si>
  <si>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</si>
  <si>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</si>
  <si>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</si>
  <si>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</si>
  <si>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</si>
  <si>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</si>
  <si>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</si>
  <si>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</si>
  <si>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</si>
  <si>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</si>
  <si>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</si>
  <si>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</si>
  <si>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</si>
  <si>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</si>
  <si>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</si>
  <si>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</si>
  <si>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</si>
  <si>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</si>
  <si>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</si>
  <si>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</si>
  <si>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</si>
  <si>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</si>
  <si>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</si>
  <si>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</si>
  <si>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</si>
  <si>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</si>
  <si>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</si>
  <si>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</si>
  <si>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</si>
  <si>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</si>
  <si>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</si>
  <si>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</si>
  <si>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</si>
  <si>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</si>
  <si>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</si>
  <si>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</si>
  <si>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</si>
  <si>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</si>
  <si>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</si>
  <si>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</si>
  <si>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</si>
  <si>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</si>
  <si>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</si>
  <si>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</si>
  <si>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</si>
  <si>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</si>
  <si>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</si>
  <si>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</si>
  <si>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</si>
  <si>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</si>
  <si>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</si>
  <si>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</si>
  <si>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</si>
  <si>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</si>
  <si>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</si>
  <si>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</si>
  <si>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</si>
  <si>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</si>
  <si>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</si>
  <si>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</si>
  <si>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</si>
  <si>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</si>
  <si>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</si>
  <si>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</si>
  <si>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</si>
  <si>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</si>
  <si>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</si>
  <si>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</si>
  <si>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</si>
  <si>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</si>
  <si>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</si>
  <si>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</si>
  <si>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</si>
  <si>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</si>
  <si>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</si>
  <si>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</si>
  <si>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</si>
  <si>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</si>
  <si>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</si>
  <si>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</si>
  <si>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</si>
  <si>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</si>
  <si>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</si>
  <si>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</si>
  <si>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</si>
  <si>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</si>
  <si>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</si>
  <si>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</si>
  <si>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</si>
  <si>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</si>
  <si>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</si>
  <si>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</si>
  <si>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</si>
  <si>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</si>
  <si>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</si>
  <si>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</si>
  <si>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</si>
  <si>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</si>
  <si>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</si>
  <si>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</si>
  <si>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</si>
  <si>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</si>
  <si>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</si>
  <si>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</si>
  <si>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</si>
  <si>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</si>
  <si>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</si>
  <si>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</si>
  <si>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</si>
  <si>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</si>
  <si>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</si>
  <si>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</si>
  <si>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</si>
  <si>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</si>
  <si>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</si>
  <si>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</si>
  <si>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</si>
  <si>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</si>
  <si>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</si>
  <si>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</si>
  <si>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</si>
  <si>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</si>
  <si>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</si>
  <si>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</si>
  <si>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</si>
  <si>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</si>
  <si>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</si>
  <si>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</si>
  <si>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</si>
  <si>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</si>
  <si>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</si>
  <si>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</si>
  <si>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</si>
  <si>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</si>
  <si>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</si>
  <si>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</si>
  <si>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</si>
  <si>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</si>
  <si>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</si>
  <si>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</si>
  <si>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</si>
  <si>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</si>
  <si>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</si>
  <si>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</si>
  <si>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</si>
  <si>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</si>
  <si>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</si>
  <si>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</si>
  <si>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</si>
  <si>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</si>
  <si>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</si>
  <si>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</si>
  <si>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</si>
  <si>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</si>
  <si>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</si>
  <si>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</si>
  <si>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</si>
  <si>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</si>
  <si>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</si>
  <si>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</si>
  <si>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</si>
  <si>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</si>
  <si>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</si>
  <si>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</si>
  <si>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</si>
  <si>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</si>
  <si>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</si>
  <si>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</si>
  <si>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</si>
  <si>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</si>
  <si>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</si>
  <si>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</si>
  <si>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</si>
  <si>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</si>
  <si>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</si>
  <si>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</si>
  <si>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</si>
  <si>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</si>
  <si>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</si>
  <si>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</si>
  <si>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</si>
  <si>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</si>
  <si>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</si>
  <si>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</si>
  <si>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</si>
  <si>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</si>
  <si>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</si>
  <si>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</si>
  <si>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</si>
  <si>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</si>
  <si>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</si>
  <si>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</si>
  <si>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</si>
  <si>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</si>
  <si>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</si>
  <si>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</si>
  <si>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</si>
  <si>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</si>
  <si>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</si>
  <si>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</si>
  <si>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</si>
  <si>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</si>
  <si>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</si>
  <si>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</si>
  <si>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</si>
  <si>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</si>
  <si>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</si>
  <si>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</si>
  <si>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</si>
  <si>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</si>
  <si>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</si>
  <si>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</si>
  <si>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</si>
  <si>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</si>
  <si>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</si>
  <si>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</si>
  <si>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</si>
  <si>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</si>
  <si>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</si>
  <si>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</si>
  <si>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</si>
  <si>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</si>
  <si>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</si>
  <si>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</si>
  <si>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</si>
  <si>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</si>
  <si>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</si>
  <si>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</si>
  <si>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</si>
  <si>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</si>
  <si>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</si>
  <si>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</si>
  <si>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</si>
  <si>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</si>
  <si>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</si>
  <si>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</si>
  <si>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</si>
  <si>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</si>
  <si>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</si>
  <si>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</si>
  <si>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</si>
  <si>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</si>
  <si>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</si>
  <si>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</si>
  <si>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</si>
  <si>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</si>
  <si>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</si>
  <si>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</si>
  <si>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</si>
  <si>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</si>
  <si>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</si>
  <si>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</si>
  <si>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</si>
  <si>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</si>
  <si>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</si>
  <si>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</si>
  <si>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</si>
  <si>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</si>
  <si>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</si>
  <si>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</si>
  <si>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</si>
  <si>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</si>
  <si>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</si>
  <si>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</si>
  <si>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</si>
  <si>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</si>
  <si>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</si>
  <si>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</si>
  <si>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</si>
  <si>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</si>
  <si>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</si>
  <si>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</si>
  <si>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</si>
  <si>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</si>
  <si>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</si>
  <si>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</si>
  <si>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</si>
  <si>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</si>
  <si>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</si>
  <si>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</si>
  <si>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</si>
  <si>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</si>
  <si>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</si>
  <si>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</si>
  <si>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</si>
  <si>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</si>
  <si>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</si>
  <si>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</si>
  <si>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</si>
  <si>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</si>
  <si>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</si>
  <si>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</si>
  <si>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</si>
  <si>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</si>
  <si>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</si>
  <si>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</si>
  <si>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</si>
  <si>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</si>
  <si>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</si>
  <si>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</si>
  <si>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</si>
  <si>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</si>
  <si>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</si>
  <si>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</si>
  <si>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</si>
  <si>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</si>
  <si>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</si>
  <si>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</si>
  <si>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</si>
  <si>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</si>
  <si>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</si>
  <si>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</si>
  <si>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</si>
  <si>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</si>
  <si>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</si>
  <si>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</si>
  <si>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</si>
  <si>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</si>
  <si>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</si>
  <si>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</si>
  <si>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</si>
  <si>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</si>
  <si>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</si>
  <si>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</si>
  <si>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</si>
  <si>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</si>
  <si>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</si>
  <si>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</si>
  <si>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</si>
  <si>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</si>
  <si>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</si>
  <si>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</si>
  <si>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</si>
  <si>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</si>
  <si>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</si>
  <si>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</si>
  <si>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</si>
  <si>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</si>
  <si>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</si>
  <si>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</si>
  <si>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</si>
  <si>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</si>
  <si>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</si>
  <si>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</si>
  <si>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</si>
  <si>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</si>
  <si>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</si>
  <si>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</si>
  <si>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</si>
  <si>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</si>
  <si>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</si>
  <si>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</si>
  <si>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</si>
  <si>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</si>
  <si>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</si>
  <si>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</si>
  <si>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</si>
  <si>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</si>
  <si>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</si>
  <si>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</si>
  <si>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</si>
  <si>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</si>
  <si>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</si>
  <si>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</si>
  <si>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</si>
  <si>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</si>
  <si>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</si>
  <si>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</si>
  <si>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</si>
  <si>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</si>
  <si>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</si>
  <si>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</si>
  <si>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</si>
  <si>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</si>
  <si>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</si>
  <si>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</si>
  <si>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</si>
  <si>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</si>
  <si>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</si>
  <si>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</si>
  <si>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</si>
  <si>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</si>
  <si>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</si>
  <si>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</si>
  <si>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</si>
  <si>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</si>
  <si>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</si>
  <si>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</si>
  <si>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</si>
  <si>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</si>
  <si>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</si>
  <si>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</si>
  <si>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</si>
  <si>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</si>
  <si>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</si>
  <si>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</si>
  <si>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</si>
  <si>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</si>
  <si>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</si>
  <si>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</si>
  <si>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</si>
  <si>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</si>
  <si>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</si>
  <si>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</si>
  <si>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</si>
  <si>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</si>
  <si>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</si>
  <si>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</si>
  <si>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</si>
  <si>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</si>
  <si>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</si>
  <si>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</si>
  <si>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</si>
  <si>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</si>
  <si>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</si>
  <si>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</si>
  <si>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</si>
  <si>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</si>
  <si>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</si>
  <si>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</si>
  <si>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</si>
  <si>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</si>
  <si>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</si>
  <si>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</si>
  <si>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</si>
  <si>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</si>
  <si>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</si>
  <si>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</si>
  <si>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</si>
  <si>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</si>
  <si>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</si>
  <si>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</si>
  <si>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</si>
  <si>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</si>
  <si>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</si>
  <si>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</si>
  <si>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</si>
  <si>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</si>
  <si>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</si>
  <si>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</si>
  <si>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</si>
  <si>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</si>
  <si>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</si>
  <si>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</si>
  <si>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</si>
  <si>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</si>
  <si>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</si>
  <si>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</si>
  <si>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</si>
  <si>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</si>
  <si>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</si>
  <si>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</si>
  <si>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</si>
  <si>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</si>
  <si>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</si>
  <si>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</si>
  <si>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</si>
  <si>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</si>
  <si>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</si>
  <si>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</si>
  <si>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</si>
  <si>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</si>
  <si>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</si>
  <si>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</si>
  <si>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</si>
  <si>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</si>
  <si>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</si>
  <si>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</si>
  <si>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</si>
  <si>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</si>
  <si>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</si>
  <si>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</si>
  <si>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</si>
  <si>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</si>
  <si>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</si>
  <si>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</si>
  <si>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</si>
  <si>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</si>
  <si>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</si>
  <si>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</si>
  <si>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</si>
  <si>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</si>
  <si>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</si>
  <si>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</si>
  <si>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</si>
  <si>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</si>
  <si>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</si>
  <si>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</si>
  <si>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</si>
  <si>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</si>
  <si>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</si>
  <si>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</si>
  <si>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</si>
  <si>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</si>
  <si>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</si>
  <si>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</si>
  <si>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</si>
  <si>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</si>
  <si>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</si>
  <si>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</si>
  <si>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</si>
  <si>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</si>
  <si>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</si>
  <si>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</si>
  <si>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</si>
  <si>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</si>
  <si>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</si>
  <si>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</si>
  <si>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</si>
  <si>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</si>
  <si>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</si>
  <si>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</si>
  <si>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</si>
  <si>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</si>
  <si>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</si>
  <si>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</si>
  <si>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</si>
  <si>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</si>
  <si>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</si>
  <si>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</si>
  <si>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</si>
  <si>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</si>
  <si>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</si>
  <si>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</si>
  <si>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</si>
  <si>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</si>
  <si>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</si>
  <si>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</si>
  <si>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</si>
  <si>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</si>
  <si>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</si>
  <si>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</si>
  <si>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</si>
  <si>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</si>
  <si>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</si>
  <si>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</si>
  <si>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</si>
  <si>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</si>
  <si>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</si>
  <si>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</si>
  <si>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</si>
  <si>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</si>
  <si>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</si>
  <si>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</si>
  <si>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</si>
  <si>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</si>
  <si>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</si>
  <si>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</si>
  <si>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</si>
  <si>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</si>
  <si>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</si>
  <si>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</si>
  <si>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</si>
  <si>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</si>
  <si>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</si>
  <si>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</si>
  <si>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</si>
  <si>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</si>
  <si>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</si>
  <si>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</si>
  <si>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</si>
  <si>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</si>
  <si>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</si>
  <si>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</si>
  <si>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</si>
  <si>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</si>
  <si>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</si>
  <si>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</si>
  <si>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</si>
  <si>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</si>
  <si>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</si>
  <si>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</si>
  <si>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</si>
  <si>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</si>
  <si>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</si>
  <si>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</si>
  <si>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</si>
  <si>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</si>
  <si>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</si>
  <si>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</si>
  <si>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</si>
  <si>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</si>
  <si>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</si>
  <si>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</si>
  <si>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</si>
  <si>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</si>
  <si>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</si>
  <si>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</si>
  <si>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</si>
  <si>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</si>
  <si>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</si>
  <si>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</si>
  <si>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</si>
  <si>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</si>
  <si>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</si>
  <si>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</si>
  <si>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</si>
  <si>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</si>
  <si>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</si>
  <si>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</si>
  <si>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</si>
  <si>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</si>
  <si>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</si>
  <si>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</si>
  <si>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</si>
  <si>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</si>
  <si>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</si>
  <si>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</si>
  <si>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</si>
  <si>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</si>
  <si>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</si>
  <si>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</si>
  <si>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</si>
  <si>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</si>
  <si>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</si>
  <si>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</si>
  <si>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</si>
  <si>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</si>
  <si>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</si>
  <si>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</si>
  <si>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</si>
  <si>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</si>
  <si>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</si>
  <si>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</si>
  <si>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</si>
  <si>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</si>
  <si>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</si>
  <si>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</si>
  <si>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</si>
  <si>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</si>
  <si>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</si>
  <si>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</si>
  <si>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</si>
  <si>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</si>
  <si>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</si>
  <si>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</si>
  <si>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</si>
  <si>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</si>
  <si>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</si>
  <si>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</si>
  <si>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</si>
  <si>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</si>
  <si>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</si>
  <si>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</si>
  <si>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</si>
  <si>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</si>
  <si>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</si>
  <si>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</si>
  <si>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</si>
  <si>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</si>
  <si>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</si>
  <si>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</si>
  <si>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</si>
  <si>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</si>
  <si>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</si>
  <si>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</si>
  <si>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</si>
  <si>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</si>
  <si>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</si>
  <si>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</si>
  <si>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</si>
  <si>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</si>
  <si>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</si>
  <si>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</si>
  <si>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</si>
  <si>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</si>
  <si>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</si>
  <si>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</si>
  <si>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</si>
  <si>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</si>
  <si>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</si>
  <si>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</si>
  <si>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</si>
  <si>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</si>
  <si>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</si>
  <si>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</si>
  <si>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</si>
  <si>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</si>
  <si>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</si>
  <si>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</si>
  <si>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</si>
  <si>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</si>
  <si>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</si>
  <si>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</si>
  <si>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</si>
  <si>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</si>
  <si>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</si>
  <si>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</si>
  <si>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</si>
  <si>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</si>
  <si>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</si>
  <si>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</si>
  <si>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</si>
  <si>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</si>
  <si>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</si>
  <si>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</si>
  <si>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</si>
  <si>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</si>
  <si>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</si>
  <si>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</si>
  <si>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</si>
  <si>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</si>
  <si>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</si>
  <si>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</si>
  <si>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</si>
  <si>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</si>
  <si>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</si>
  <si>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</si>
  <si>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</si>
  <si>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</si>
  <si>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</si>
  <si>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</si>
  <si>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</si>
  <si>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</si>
  <si>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</si>
  <si>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</si>
  <si>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</si>
  <si>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</si>
  <si>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</si>
  <si>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</si>
  <si>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</si>
  <si>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</si>
  <si>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</si>
  <si>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</si>
  <si>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</si>
  <si>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</si>
  <si>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</si>
  <si>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</si>
  <si>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</si>
  <si>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</si>
  <si>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</si>
  <si>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</si>
  <si>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</si>
  <si>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</si>
  <si>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</si>
  <si>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</si>
  <si>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</si>
  <si>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</si>
  <si>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</si>
  <si>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</si>
  <si>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</si>
  <si>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</si>
  <si>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</si>
  <si>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</si>
  <si>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</si>
  <si>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</si>
  <si>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</si>
  <si>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</si>
  <si>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</si>
  <si>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</si>
  <si>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</si>
  <si>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</si>
  <si>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</si>
  <si>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</si>
  <si>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</si>
  <si>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</si>
  <si>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</si>
  <si>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</si>
  <si>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</si>
  <si>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</si>
  <si>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</si>
  <si>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</si>
  <si>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</si>
  <si>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</si>
  <si>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</si>
  <si>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</si>
  <si>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</si>
  <si>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</si>
  <si>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</si>
  <si>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</si>
  <si>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</si>
  <si>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</si>
  <si>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</si>
  <si>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</si>
  <si>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</si>
  <si>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</si>
  <si>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</si>
  <si>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</si>
  <si>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</si>
  <si>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</si>
  <si>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</si>
  <si>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</si>
  <si>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</si>
  <si>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</si>
  <si>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</si>
  <si>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</si>
  <si>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</si>
  <si>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</si>
  <si>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</si>
  <si>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</si>
  <si>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</si>
  <si>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</si>
  <si>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</si>
  <si>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</si>
  <si>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</si>
  <si>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</si>
  <si>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</si>
  <si>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</si>
  <si>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</si>
  <si>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</si>
  <si>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</si>
  <si>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</si>
  <si>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</si>
  <si>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</si>
  <si>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</si>
  <si>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</si>
  <si>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</si>
  <si>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</si>
  <si>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</si>
  <si>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</si>
  <si>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</si>
  <si>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</si>
  <si>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</si>
  <si>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</si>
  <si>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</si>
  <si>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</si>
  <si>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</si>
  <si>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</si>
  <si>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</si>
  <si>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</si>
  <si>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</si>
  <si>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</si>
  <si>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</si>
  <si>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</si>
  <si>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</si>
  <si>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</si>
  <si>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</si>
  <si>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</si>
  <si>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</si>
  <si>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</si>
  <si>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</si>
  <si>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</si>
  <si>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</si>
  <si>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</si>
  <si>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</si>
  <si>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</si>
  <si>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</si>
  <si>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</si>
  <si>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</si>
  <si>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</si>
  <si>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</si>
  <si>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</si>
  <si>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</si>
  <si>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</si>
  <si>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</si>
  <si>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</si>
  <si>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</si>
  <si>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</si>
  <si>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</si>
  <si>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</si>
  <si>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</si>
  <si>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</si>
  <si>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</si>
  <si>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</si>
  <si>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</si>
  <si>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</si>
  <si>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</si>
  <si>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</si>
  <si>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</si>
  <si>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</si>
  <si>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</si>
  <si>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</si>
  <si>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</si>
  <si>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</si>
  <si>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</si>
  <si>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</si>
  <si>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</si>
  <si>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</si>
  <si>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</si>
  <si>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</si>
  <si>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</si>
  <si>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</si>
  <si>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</si>
  <si>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</si>
  <si>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</si>
  <si>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</si>
  <si>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</si>
  <si>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</si>
  <si>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</si>
  <si>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</si>
  <si>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</si>
  <si>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</si>
  <si>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</si>
  <si>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</si>
  <si>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</si>
  <si>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</si>
  <si>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</si>
  <si>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</si>
  <si>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</si>
  <si>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</si>
  <si>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</si>
  <si>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</si>
  <si>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</si>
  <si>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</si>
  <si>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</si>
  <si>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</si>
  <si>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</si>
  <si>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</si>
  <si>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</si>
  <si>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</si>
  <si>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</si>
  <si>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</si>
  <si>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</si>
  <si>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</si>
  <si>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</si>
  <si>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</si>
  <si>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</si>
  <si>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</si>
  <si>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</si>
  <si>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</si>
  <si>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</si>
  <si>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</si>
  <si>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</si>
  <si>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</si>
  <si>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</si>
  <si>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</si>
  <si>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</si>
  <si>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</si>
  <si>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</si>
  <si>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</si>
  <si>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</si>
  <si>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</si>
  <si>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</si>
  <si>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</si>
  <si>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</si>
  <si>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</si>
  <si>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</si>
  <si>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</si>
  <si>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</si>
  <si>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</si>
  <si>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</si>
  <si>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</si>
  <si>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</si>
  <si>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</si>
  <si>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</si>
  <si>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</si>
  <si>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</si>
  <si>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</si>
  <si>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</si>
  <si>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</si>
  <si>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</si>
  <si>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</si>
  <si>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</si>
  <si>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</si>
  <si>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</si>
  <si>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</si>
  <si>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</si>
  <si>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</si>
  <si>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</si>
  <si>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</si>
  <si>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</si>
  <si>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</si>
  <si>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</si>
  <si>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</si>
  <si>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</si>
  <si>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</si>
  <si>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</si>
  <si>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</si>
  <si>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</si>
  <si>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</si>
  <si>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</si>
  <si>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</si>
  <si>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</si>
  <si>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</si>
  <si>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</si>
  <si>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</si>
  <si>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</si>
  <si>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</si>
  <si>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</si>
  <si>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</si>
  <si>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</si>
  <si>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</si>
  <si>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</si>
  <si>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</si>
  <si>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</si>
  <si>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</si>
  <si>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</si>
  <si>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</si>
  <si>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</si>
  <si>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</si>
  <si>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</si>
  <si>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</si>
  <si>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</si>
  <si>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</si>
  <si>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</si>
  <si>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</si>
  <si>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</si>
  <si>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</si>
  <si>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</si>
  <si>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</si>
  <si>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</si>
  <si>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</si>
  <si>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</si>
  <si>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</si>
  <si>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</si>
  <si>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</si>
  <si>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</si>
  <si>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</si>
  <si>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</si>
  <si>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</si>
  <si>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</si>
  <si>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</si>
  <si>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</si>
  <si>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</si>
  <si>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</si>
  <si>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</si>
  <si>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</si>
  <si>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</si>
  <si>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</si>
  <si>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</si>
  <si>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</si>
  <si>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</si>
  <si>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</si>
  <si>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</si>
  <si>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</si>
  <si>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</si>
  <si>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</si>
  <si>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</si>
  <si>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</si>
  <si>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</si>
  <si>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</si>
  <si>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</si>
  <si>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</si>
  <si>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</si>
  <si>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</si>
  <si>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</si>
  <si>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</si>
  <si>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</si>
  <si>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</si>
  <si>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</si>
  <si>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</si>
  <si>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</si>
  <si>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</si>
  <si>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</si>
  <si>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</si>
  <si>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</si>
  <si>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</si>
  <si>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</si>
  <si>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</si>
  <si>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</si>
  <si>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</si>
  <si>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</si>
  <si>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</si>
  <si>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</si>
  <si>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</si>
  <si>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</si>
  <si>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</si>
  <si>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</si>
  <si>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</si>
  <si>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</si>
  <si>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</si>
  <si>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</si>
  <si>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</si>
  <si>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</si>
  <si>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</si>
  <si>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</si>
  <si>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</si>
  <si>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</si>
  <si>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</si>
  <si>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</si>
  <si>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</si>
  <si>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</si>
  <si>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</si>
  <si>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</si>
  <si>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</si>
  <si>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</si>
  <si>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</si>
  <si>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</si>
  <si>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</si>
  <si>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</si>
  <si>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</si>
  <si>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</si>
  <si>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</si>
  <si>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</si>
  <si>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</si>
  <si>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</si>
  <si>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</si>
  <si>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</si>
  <si>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</si>
  <si>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</si>
  <si>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</si>
  <si>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</si>
  <si>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</si>
  <si>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</si>
  <si>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</si>
  <si>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</si>
  <si>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</si>
  <si>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</si>
  <si>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</si>
  <si>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</si>
  <si>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</si>
  <si>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</si>
  <si>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</si>
  <si>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</si>
  <si>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</si>
  <si>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</si>
  <si>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</si>
  <si>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</si>
  <si>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</si>
  <si>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</si>
  <si>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</si>
  <si>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</si>
  <si>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</si>
  <si>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</si>
  <si>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</si>
  <si>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</si>
  <si>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</si>
  <si>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</si>
  <si>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</si>
  <si>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</si>
  <si>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</si>
  <si>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</si>
  <si>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</si>
  <si>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</si>
  <si>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</si>
  <si>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</si>
  <si>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</si>
  <si>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</si>
  <si>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</si>
  <si>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</si>
  <si>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</si>
  <si>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</si>
  <si>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</si>
  <si>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</si>
  <si>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</si>
  <si>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</si>
  <si>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</si>
  <si>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</si>
  <si>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</si>
  <si>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</si>
  <si>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</si>
  <si>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</si>
  <si>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</si>
  <si>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</si>
  <si>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</si>
  <si>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</si>
  <si>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</si>
  <si>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</si>
  <si>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</si>
  <si>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</si>
  <si>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</si>
  <si>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</si>
  <si>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</si>
  <si>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</si>
  <si>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</si>
  <si>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</si>
  <si>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</si>
  <si>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</si>
  <si>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</si>
  <si>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</si>
  <si>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</si>
  <si>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</si>
  <si>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</si>
  <si>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</si>
  <si>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</si>
  <si>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</si>
  <si>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</si>
  <si>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</si>
  <si>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</si>
  <si>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</si>
  <si>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</si>
  <si>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</si>
  <si>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</si>
  <si>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</si>
  <si>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</si>
  <si>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</si>
  <si>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</si>
  <si>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</si>
  <si>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</si>
  <si>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</si>
  <si>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</si>
  <si>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</si>
  <si>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</si>
  <si>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</si>
  <si>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</si>
  <si>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</si>
  <si>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</si>
  <si>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</si>
  <si>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</si>
  <si>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</si>
  <si>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</si>
  <si>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</si>
  <si>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</si>
  <si>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</si>
  <si>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</si>
  <si>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</si>
  <si>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</si>
  <si>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</si>
  <si>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</si>
  <si>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</si>
  <si>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</si>
  <si>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</si>
  <si>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</si>
  <si>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</si>
  <si>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</si>
  <si>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</si>
  <si>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</si>
  <si>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</si>
  <si>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</si>
  <si>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</si>
  <si>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</si>
  <si>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</si>
  <si>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</si>
  <si>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</si>
  <si>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</si>
  <si>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</si>
  <si>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</si>
  <si>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</si>
  <si>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</si>
  <si>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</si>
  <si>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</si>
  <si>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</si>
  <si>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</si>
  <si>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</si>
  <si>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</si>
  <si>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</si>
  <si>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</si>
  <si>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</si>
  <si>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</si>
  <si>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</si>
  <si>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</si>
  <si>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</si>
  <si>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</si>
  <si>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</si>
  <si>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</si>
  <si>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</si>
  <si>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</si>
  <si>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</si>
  <si>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</si>
  <si>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</si>
  <si>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</si>
  <si>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</si>
  <si>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</si>
  <si>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</si>
  <si>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</si>
  <si>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</si>
  <si>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</si>
  <si>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</si>
  <si>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</si>
  <si>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</si>
  <si>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</si>
  <si>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</si>
  <si>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</si>
  <si>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</si>
  <si>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</si>
  <si>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</si>
  <si>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</si>
  <si>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</si>
  <si>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</si>
  <si>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</si>
  <si>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</si>
  <si>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</si>
  <si>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</si>
  <si>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</si>
  <si>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</si>
  <si>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</si>
  <si>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</si>
  <si>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</si>
  <si>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</si>
  <si>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</si>
  <si>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</si>
  <si>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</si>
  <si>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</si>
  <si>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</si>
  <si>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</si>
  <si>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</si>
  <si>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</si>
  <si>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</si>
  <si>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</si>
  <si>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</si>
  <si>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</si>
  <si>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</si>
  <si>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</si>
  <si>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</si>
  <si>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</si>
  <si>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</si>
  <si>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</si>
  <si>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</si>
  <si>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</si>
  <si>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</si>
  <si>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</si>
  <si>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</si>
  <si>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</si>
  <si>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</si>
  <si>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</si>
  <si>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</si>
  <si>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</si>
  <si>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</si>
  <si>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</si>
  <si>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</si>
  <si>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</si>
  <si>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</si>
  <si>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</si>
  <si>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</si>
  <si>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</si>
  <si>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</si>
  <si>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</si>
  <si>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</si>
  <si>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</si>
  <si>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</si>
  <si>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</si>
  <si>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</si>
  <si>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</si>
  <si>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</si>
  <si>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</si>
  <si>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</si>
  <si>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</si>
  <si>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</si>
  <si>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</si>
  <si>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</si>
  <si>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</si>
  <si>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</si>
  <si>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</si>
  <si>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</si>
  <si>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</si>
  <si>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</si>
  <si>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</si>
  <si>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</si>
  <si>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</si>
  <si>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</si>
  <si>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</si>
  <si>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</si>
  <si>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</si>
  <si>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</si>
  <si>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</si>
  <si>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</si>
  <si>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</si>
  <si>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</si>
  <si>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</si>
  <si>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</si>
  <si>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</si>
  <si>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</si>
  <si>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</si>
  <si>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</si>
  <si>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</si>
  <si>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</si>
  <si>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</si>
  <si>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</si>
  <si>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</si>
  <si>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</si>
  <si>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</si>
  <si>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</si>
  <si>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</si>
  <si>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</si>
  <si>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</si>
  <si>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</si>
  <si>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</si>
  <si>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</si>
  <si>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</si>
  <si>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</si>
  <si>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</si>
  <si>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</si>
  <si>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</si>
  <si>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</si>
  <si>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</si>
  <si>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</si>
  <si>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</si>
  <si>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</si>
  <si>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</si>
  <si>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</si>
  <si>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</si>
  <si>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</si>
  <si>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</si>
  <si>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</si>
  <si>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</si>
  <si>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</si>
  <si>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</si>
  <si>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</si>
  <si>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</si>
  <si>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</si>
  <si>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</si>
  <si>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</si>
  <si>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</si>
  <si>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</si>
  <si>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</si>
  <si>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</si>
  <si>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</si>
  <si>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</si>
  <si>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</si>
  <si>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</si>
  <si>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</si>
  <si>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</si>
  <si>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</si>
  <si>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</si>
  <si>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</si>
  <si>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</si>
  <si>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</si>
  <si>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</si>
  <si>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</si>
  <si>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</si>
  <si>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</si>
  <si>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</si>
  <si>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</si>
  <si>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</si>
  <si>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</si>
  <si>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</si>
  <si>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</si>
  <si>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</si>
  <si>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</si>
  <si>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</si>
  <si>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</si>
  <si>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</si>
  <si>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</si>
  <si>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</si>
  <si>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</si>
  <si>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</si>
  <si>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</si>
  <si>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</si>
  <si>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</si>
  <si>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</si>
  <si>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</si>
  <si>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</si>
  <si>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</si>
  <si>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</si>
  <si>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</si>
  <si>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</si>
  <si>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</si>
  <si>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</si>
  <si>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</si>
  <si>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</si>
  <si>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</si>
  <si>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</si>
  <si>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</si>
  <si>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</si>
  <si>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</si>
  <si>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</si>
  <si>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</si>
  <si>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</si>
  <si>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</si>
  <si>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</si>
  <si>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</si>
  <si>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</si>
  <si>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</si>
  <si>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</si>
  <si>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</si>
  <si>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</si>
  <si>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</si>
  <si>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</si>
  <si>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</si>
  <si>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</si>
  <si>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</si>
  <si>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</si>
  <si>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</si>
  <si>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</si>
  <si>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</si>
  <si>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</si>
  <si>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</si>
  <si>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</si>
  <si>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</si>
  <si>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</si>
  <si>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</si>
  <si>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</si>
  <si>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</si>
  <si>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</si>
  <si>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</si>
  <si>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</si>
  <si>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</si>
  <si>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</si>
  <si>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</si>
  <si>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</si>
  <si>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</si>
  <si>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</si>
  <si>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</si>
  <si>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</si>
  <si>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</si>
  <si>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</si>
  <si>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</si>
  <si>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</si>
  <si>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</si>
  <si>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</si>
  <si>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</si>
  <si>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</si>
  <si>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</si>
  <si>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</si>
  <si>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</si>
  <si>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</si>
  <si>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</si>
  <si>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</si>
  <si>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</si>
  <si>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</si>
  <si>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</si>
  <si>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</si>
  <si>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</si>
  <si>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</si>
  <si>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</si>
  <si>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</si>
  <si>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</si>
  <si>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</si>
  <si>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</si>
  <si>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</si>
  <si>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</si>
  <si>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</si>
  <si>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</si>
  <si>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</si>
  <si>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</si>
  <si>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</si>
  <si>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</si>
  <si>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</si>
  <si>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</si>
  <si>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</si>
  <si>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</si>
  <si>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</si>
  <si>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</si>
  <si>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</si>
  <si>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</si>
  <si>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</si>
  <si>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</si>
  <si>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</si>
  <si>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</si>
  <si>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</si>
  <si>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</si>
  <si>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</si>
  <si>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</si>
  <si>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</si>
  <si>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</si>
  <si>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</si>
  <si>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</si>
  <si>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</si>
  <si>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</si>
  <si>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</si>
  <si>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</si>
  <si>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</si>
  <si>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</si>
  <si>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</si>
  <si>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</si>
  <si>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</si>
  <si>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</si>
  <si>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</si>
  <si>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</si>
  <si>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</si>
  <si>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</si>
  <si>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</si>
  <si>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</si>
  <si>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</si>
  <si>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</si>
  <si>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</si>
  <si>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</si>
  <si>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</si>
  <si>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</si>
  <si>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</si>
  <si>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</si>
  <si>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</si>
  <si>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</si>
  <si>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</si>
  <si>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</si>
  <si>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</si>
  <si>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</si>
  <si>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</si>
  <si>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</si>
  <si>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</si>
  <si>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</si>
  <si>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</si>
  <si>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</si>
  <si>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</si>
  <si>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</si>
  <si>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</si>
  <si>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</si>
  <si>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</si>
  <si>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</si>
  <si>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</si>
  <si>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</si>
  <si>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</si>
  <si>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</si>
  <si>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</si>
  <si>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</si>
  <si>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</si>
  <si>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</si>
  <si>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</si>
  <si>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</si>
  <si>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</si>
  <si>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</si>
  <si>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</si>
  <si>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</si>
  <si>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</si>
  <si>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</si>
  <si>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</si>
  <si>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</si>
  <si>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</si>
  <si>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</si>
  <si>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</si>
  <si>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</si>
  <si>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</si>
  <si>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</si>
  <si>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</si>
  <si>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</si>
  <si>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</si>
  <si>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</si>
  <si>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</si>
  <si>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</si>
  <si>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</si>
  <si>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</si>
  <si>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</si>
  <si>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</si>
  <si>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</si>
  <si>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</si>
  <si>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</si>
  <si>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</si>
  <si>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</si>
  <si>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</si>
  <si>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</si>
  <si>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</si>
  <si>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</si>
  <si>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</si>
  <si>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</si>
  <si>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</si>
  <si>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</si>
  <si>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</si>
  <si>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</si>
  <si>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</si>
  <si>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</si>
  <si>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</si>
  <si>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</si>
  <si>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</si>
  <si>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</si>
  <si>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</si>
  <si>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</si>
  <si>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</si>
  <si>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</si>
  <si>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</si>
  <si>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</si>
  <si>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</si>
  <si>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</si>
  <si>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</si>
  <si>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</si>
  <si>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</si>
  <si>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</si>
  <si>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</si>
  <si>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</si>
  <si>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</si>
  <si>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</si>
  <si>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</si>
  <si>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</si>
  <si>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</si>
  <si>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</si>
  <si>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</si>
  <si>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</si>
  <si>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</si>
  <si>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</si>
  <si>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</si>
  <si>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</si>
  <si>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</si>
  <si>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</si>
  <si>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</si>
  <si>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</si>
  <si>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</si>
  <si>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</si>
  <si>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</si>
  <si>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</si>
  <si>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</si>
  <si>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</si>
  <si>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</si>
  <si>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</si>
  <si>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</si>
  <si>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</si>
  <si>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</si>
  <si>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</si>
  <si>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</si>
  <si>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</si>
  <si>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</si>
  <si>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</si>
  <si>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</si>
  <si>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</si>
  <si>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</si>
  <si>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</si>
  <si>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</si>
  <si>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</si>
  <si>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</si>
  <si>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</si>
  <si>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</si>
  <si>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</si>
  <si>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</si>
  <si>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</si>
  <si>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</si>
  <si>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</si>
  <si>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</si>
  <si>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</si>
  <si>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</si>
  <si>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</si>
  <si>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</si>
  <si>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</si>
  <si>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</si>
  <si>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</si>
  <si>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</si>
  <si>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</si>
  <si>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</si>
  <si>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</si>
  <si>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</si>
  <si>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</si>
  <si>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</si>
  <si>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</si>
  <si>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</si>
  <si>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</si>
  <si>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</si>
  <si>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</si>
  <si>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</si>
  <si>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</si>
  <si>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</si>
  <si>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</si>
  <si>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</si>
  <si>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</si>
  <si>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</si>
  <si>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</si>
  <si>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</si>
  <si>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</si>
  <si>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</si>
  <si>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</si>
  <si>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</si>
  <si>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</si>
  <si>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</si>
  <si>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</si>
  <si>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</si>
  <si>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</si>
  <si>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</si>
  <si>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</si>
  <si>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</si>
  <si>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</si>
  <si>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</si>
  <si>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</si>
  <si>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</si>
  <si>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</si>
  <si>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</si>
  <si>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</si>
  <si>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</si>
  <si>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</si>
  <si>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</si>
  <si>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</si>
  <si>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</si>
  <si>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</si>
  <si>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</si>
  <si>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</si>
  <si>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</si>
  <si>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</si>
  <si>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</si>
  <si>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</si>
  <si>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</si>
  <si>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</si>
  <si>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</si>
  <si>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</si>
  <si>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</si>
  <si>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</si>
  <si>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</si>
  <si>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</si>
  <si>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</si>
  <si>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</si>
  <si>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</si>
  <si>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</si>
  <si>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</si>
  <si>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</si>
  <si>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</si>
  <si>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</si>
  <si>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</si>
  <si>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</si>
  <si>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</si>
  <si>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</si>
  <si>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</si>
  <si>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</si>
  <si>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</si>
  <si>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</si>
  <si>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</si>
  <si>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</si>
  <si>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</si>
  <si>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</si>
  <si>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</si>
  <si>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</si>
  <si>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</si>
  <si>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</si>
  <si>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</si>
  <si>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</si>
  <si>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</si>
  <si>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</si>
  <si>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</si>
  <si>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</si>
  <si>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</si>
  <si>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</si>
  <si>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Vintage Housing Holdings, LLC </t>
  </si>
  <si>
    <t>Seasons by Vintage</t>
  </si>
  <si>
    <t xml:space="preserve">City of Elk Grove </t>
  </si>
  <si>
    <t xml:space="preserve">Sarah Bontrager </t>
  </si>
  <si>
    <t xml:space="preserve">8401 Laguna Palms Way </t>
  </si>
  <si>
    <t xml:space="preserve">Elk Grove </t>
  </si>
  <si>
    <t>916-627-3209</t>
  </si>
  <si>
    <t>916-627-4800</t>
  </si>
  <si>
    <t>sbontrager@elkgrovecity.org</t>
  </si>
  <si>
    <t xml:space="preserve">7301 Bilby Raod </t>
  </si>
  <si>
    <t>40%/60%</t>
  </si>
  <si>
    <t>Newport</t>
  </si>
  <si>
    <t>CA</t>
  </si>
  <si>
    <t xml:space="preserve">Michael Gancar </t>
  </si>
  <si>
    <t>949-721-6775</t>
  </si>
  <si>
    <t>mgancar@vintagehousing.com</t>
  </si>
  <si>
    <t xml:space="preserve">Hearthstone/PWC JV, LLC </t>
  </si>
  <si>
    <t>Managing GP</t>
  </si>
  <si>
    <t xml:space="preserve">1401 Dove Street, Suite 620 </t>
  </si>
  <si>
    <t xml:space="preserve">Newport Beach </t>
  </si>
  <si>
    <t xml:space="preserve">CA </t>
  </si>
  <si>
    <t xml:space="preserve">Socorro Vasquez </t>
  </si>
  <si>
    <t>949-553-9447</t>
  </si>
  <si>
    <t>coco@heathstonehousing.org</t>
  </si>
  <si>
    <t xml:space="preserve">Hearthstone Housing Foundation </t>
  </si>
  <si>
    <t>Administrative GP</t>
  </si>
  <si>
    <t xml:space="preserve">369 San Miguel Drive, Suite 135 </t>
  </si>
  <si>
    <t>To-be-formed LLC</t>
  </si>
  <si>
    <t xml:space="preserve">Sabelhaus &amp; Strain PC </t>
  </si>
  <si>
    <t xml:space="preserve">1724 10th Street, Suite 110 </t>
  </si>
  <si>
    <t xml:space="preserve">Sacramento </t>
  </si>
  <si>
    <t xml:space="preserve">Stephen Strain </t>
  </si>
  <si>
    <t>916-444-0286</t>
  </si>
  <si>
    <t>sstrain@sabelhauslaw.com</t>
  </si>
  <si>
    <t xml:space="preserve">Attorney / Consultant </t>
  </si>
  <si>
    <t>Vintage Housing Development, Inc.</t>
  </si>
  <si>
    <t>369 San Miguel Drive, Suite 135</t>
  </si>
  <si>
    <t>Newport Beach, CA 92660</t>
  </si>
  <si>
    <t>Michael Gancar</t>
  </si>
  <si>
    <t xml:space="preserve">Musser: Architects, Inc. </t>
  </si>
  <si>
    <t>251 E Imperial Hwy, Suite 480</t>
  </si>
  <si>
    <t>Fullerton, CA 92835</t>
  </si>
  <si>
    <t xml:space="preserve">David Musser </t>
  </si>
  <si>
    <t>1724 10th Street, Suite 110</t>
  </si>
  <si>
    <t>Sacramento, CA 95811</t>
  </si>
  <si>
    <t xml:space="preserve">Stephen A. Strain </t>
  </si>
  <si>
    <t xml:space="preserve">Bernard E. Rea, CPA </t>
  </si>
  <si>
    <t>P.O. Box 492</t>
  </si>
  <si>
    <t>Aubrey, TX 76227</t>
  </si>
  <si>
    <t>Bernie Rea</t>
  </si>
  <si>
    <t xml:space="preserve">Novogradac &amp; Company LLP </t>
  </si>
  <si>
    <t xml:space="preserve">160 Battery Street E Building, 2nd Floor  </t>
  </si>
  <si>
    <t>San Francisco, CA 94111</t>
  </si>
  <si>
    <t>Lindsey Hannon</t>
  </si>
  <si>
    <t xml:space="preserve">R4 Capital </t>
  </si>
  <si>
    <t>895 Dove Street, Suite 450</t>
  </si>
  <si>
    <t>Cory Bannoster</t>
  </si>
  <si>
    <t xml:space="preserve">Cardinal Consulting, Inc. </t>
  </si>
  <si>
    <t>1355 Willow Way, #264</t>
  </si>
  <si>
    <t>Concord, CA 94520</t>
  </si>
  <si>
    <t xml:space="preserve">David Cardinal </t>
  </si>
  <si>
    <t xml:space="preserve">California Municipal Finance Authority </t>
  </si>
  <si>
    <t>2111 Palomar Airport Road, Suite 320</t>
  </si>
  <si>
    <t>Carlsbad, CA 92011</t>
  </si>
  <si>
    <t>Ben Barker</t>
  </si>
  <si>
    <t xml:space="preserve">FPI Management Corporation </t>
  </si>
  <si>
    <t>800 Iron Point Road</t>
  </si>
  <si>
    <t>Folsom, CA 95630</t>
  </si>
  <si>
    <t>Dennis Treadaway</t>
  </si>
  <si>
    <t>714-241-8944</t>
  </si>
  <si>
    <t>dmusser@musserarchitects.com</t>
  </si>
  <si>
    <t>209-933-9113</t>
  </si>
  <si>
    <t>949-438-1056</t>
  </si>
  <si>
    <t>cbannister@r4cap.com</t>
  </si>
  <si>
    <t>512-349-3212</t>
  </si>
  <si>
    <t>lindsey.hannon@novoco.com</t>
  </si>
  <si>
    <t>925-798-8600</t>
  </si>
  <si>
    <t>925-798-8601</t>
  </si>
  <si>
    <t>760-930-1266</t>
  </si>
  <si>
    <t>916-357-5300</t>
  </si>
  <si>
    <t>916-357-5310</t>
  </si>
  <si>
    <t>bbarker@cmfa-ca.com</t>
  </si>
  <si>
    <t>Appraisal</t>
  </si>
  <si>
    <t xml:space="preserve">Residential Multifamily Housing </t>
  </si>
  <si>
    <t>Seasons Apartments, LP</t>
  </si>
  <si>
    <t>Dane Hillyard</t>
  </si>
  <si>
    <t>Manager</t>
  </si>
  <si>
    <t>9590 Prototype Court, Suite 100</t>
  </si>
  <si>
    <t xml:space="preserve">Michael K. Gancar </t>
  </si>
  <si>
    <t>Reno, NV 89521</t>
  </si>
  <si>
    <t>Secured by Fee Interest</t>
  </si>
  <si>
    <t>Other (Specify below)</t>
  </si>
  <si>
    <t xml:space="preserve">Three-Story Garden Style Building </t>
  </si>
  <si>
    <t xml:space="preserve">Seniors </t>
  </si>
  <si>
    <t xml:space="preserve">RD-15 Medium Density Residential </t>
  </si>
  <si>
    <t>RD-15 Medium Density Residential / 15 units per acre</t>
  </si>
  <si>
    <t xml:space="preserve">City of Elk Grove Loan Assumption </t>
  </si>
  <si>
    <t>Fixed</t>
  </si>
  <si>
    <t>325 E. Hillcrest Drive, Suite 160</t>
  </si>
  <si>
    <t>Thousand Oaks</t>
  </si>
  <si>
    <t xml:space="preserve">Michael Hemmens </t>
  </si>
  <si>
    <t>Elk Grove</t>
  </si>
  <si>
    <t>Sarah Bontrager</t>
  </si>
  <si>
    <t>Newport Beach</t>
  </si>
  <si>
    <t>805-557-0933</t>
  </si>
  <si>
    <t xml:space="preserve">Tax-Exempt Construction Loan </t>
  </si>
  <si>
    <t xml:space="preserve">Subordinate Soft Loan </t>
  </si>
  <si>
    <t xml:space="preserve">NOI During Construction </t>
  </si>
  <si>
    <t>Acquired Reserves</t>
  </si>
  <si>
    <t>Air Conditioning</t>
  </si>
  <si>
    <t xml:space="preserve">Sacramento Housing and Redevelopment Agency </t>
  </si>
  <si>
    <t xml:space="preserve">Storage, Cable </t>
  </si>
  <si>
    <t>Turnover</t>
  </si>
  <si>
    <t>Insurance, Misc. Salary, Workers Comp, Payroll Taxes, Benefits</t>
  </si>
  <si>
    <t>Office &amp; Administrative</t>
  </si>
  <si>
    <t>Citibank, N.A.</t>
  </si>
  <si>
    <t>City of Elk Grove</t>
  </si>
  <si>
    <t>Other: Construction Guarantee Fee</t>
  </si>
  <si>
    <t>Other: Final Cost Certification</t>
  </si>
  <si>
    <t>Other: Inspections</t>
  </si>
  <si>
    <t>Other: Hearthstone Fees and Attorney</t>
  </si>
  <si>
    <t>Hearthstone / PWC JV, LLC</t>
  </si>
  <si>
    <t>TBD</t>
  </si>
  <si>
    <t>775-745-3950</t>
  </si>
  <si>
    <t>Vintage Housing Holdings, LLC</t>
  </si>
  <si>
    <t>Seller Carryback Loan</t>
  </si>
  <si>
    <t>Ryan Patterson</t>
  </si>
  <si>
    <t>Tax-Exempt Permanent Loan</t>
  </si>
  <si>
    <t>Subordinate Soft Loan</t>
  </si>
  <si>
    <t>Taxable Construction Loan</t>
  </si>
  <si>
    <t>Cory Bannister</t>
  </si>
  <si>
    <t>Michael K. Gancar</t>
  </si>
  <si>
    <t xml:space="preserve">Citibank, N.A </t>
  </si>
  <si>
    <t>Above residual receipts line for cash flow</t>
  </si>
  <si>
    <t>Precision General Commercial Contractors</t>
  </si>
  <si>
    <t>Fadi Qamhiyeh</t>
  </si>
  <si>
    <t>1101 E Street</t>
  </si>
  <si>
    <t>Sacramento, CA 95814</t>
  </si>
  <si>
    <t>916-381-4640</t>
  </si>
  <si>
    <t>info@precisiongc.com</t>
  </si>
  <si>
    <t>May</t>
  </si>
  <si>
    <t>Manager of Vintage Housing Holdings, LLC</t>
  </si>
  <si>
    <t>R4 Capital</t>
  </si>
  <si>
    <t>LIHTC Equity</t>
  </si>
  <si>
    <t>Seller Loan</t>
  </si>
  <si>
    <t>(775) 745-3950</t>
  </si>
  <si>
    <t>Reno, NV</t>
  </si>
  <si>
    <t>Provided</t>
  </si>
  <si>
    <t>Not Applicable</t>
  </si>
  <si>
    <t>132-0050-122, 132-0050-123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</si>
</sst>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26507">
    <xf numFmtId="0" fontId="0" fillId="0" borderId="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1" fillId="36" borderId="18" applyNumberFormat="0" applyAlignment="0" applyProtection="0"/>
    <xf numFmtId="0" fontId="91" fillId="36" borderId="18" applyNumberFormat="0" applyAlignment="0" applyProtection="0"/>
    <xf numFmtId="0" fontId="92" fillId="37" borderId="19"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29" fillId="0" borderId="0" applyFont="0" applyFill="0" applyBorder="0" applyAlignment="0" applyProtection="0"/>
    <xf numFmtId="43" fontId="64" fillId="0" borderId="0" applyFont="0" applyFill="0" applyBorder="0" applyAlignment="0" applyProtection="0"/>
    <xf numFmtId="44" fontId="8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81" fillId="0" borderId="0" applyFont="0" applyFill="0" applyBorder="0" applyAlignment="0" applyProtection="0"/>
    <xf numFmtId="44" fontId="29" fillId="0" borderId="0" applyFont="0" applyFill="0" applyBorder="0" applyAlignment="0" applyProtection="0"/>
    <xf numFmtId="44" fontId="83"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29"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44" fontId="74" fillId="0" borderId="0" applyFont="0" applyFill="0" applyBorder="0" applyAlignment="0" applyProtection="0"/>
    <xf numFmtId="44" fontId="29"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9"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9" fillId="0" borderId="0" applyFont="0" applyFill="0" applyBorder="0" applyAlignment="0" applyProtection="0"/>
    <xf numFmtId="44" fontId="29" fillId="0" borderId="0" applyFont="0" applyFill="0" applyBorder="0" applyAlignment="0" applyProtection="0"/>
    <xf numFmtId="0" fontId="93" fillId="0" borderId="0" applyNumberFormat="0" applyFill="0" applyBorder="0" applyAlignment="0" applyProtection="0"/>
    <xf numFmtId="0" fontId="94" fillId="38" borderId="0" applyNumberFormat="0" applyBorder="0" applyAlignment="0" applyProtection="0"/>
    <xf numFmtId="0" fontId="95" fillId="0" borderId="20" applyNumberFormat="0" applyFill="0" applyAlignment="0" applyProtection="0"/>
    <xf numFmtId="0" fontId="95" fillId="0" borderId="20"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7" fillId="0" borderId="22" applyNumberFormat="0" applyFill="0" applyAlignment="0" applyProtection="0"/>
    <xf numFmtId="0" fontId="97" fillId="0" borderId="22"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0" borderId="0" applyNumberFormat="0" applyFill="0" applyBorder="0" applyAlignment="0" applyProtection="0">
      <alignment vertical="top"/>
      <protection locked="0"/>
    </xf>
    <xf numFmtId="0" fontId="98" fillId="39" borderId="18" applyNumberFormat="0" applyAlignment="0" applyProtection="0"/>
    <xf numFmtId="0" fontId="22" fillId="0" borderId="0" applyNumberFormat="0" applyBorder="0"/>
    <xf numFmtId="0" fontId="23" fillId="0" borderId="0" applyBorder="0" applyAlignment="0"/>
    <xf numFmtId="0" fontId="24" fillId="0" borderId="0" applyFill="0" applyBorder="0" applyAlignment="0"/>
    <xf numFmtId="0" fontId="99" fillId="0" borderId="23" applyNumberFormat="0" applyFill="0" applyAlignment="0" applyProtection="0"/>
    <xf numFmtId="0" fontId="100" fillId="40"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69" fontId="65" fillId="0" borderId="0"/>
    <xf numFmtId="0" fontId="88" fillId="0" borderId="0"/>
    <xf numFmtId="0" fontId="29" fillId="0" borderId="0"/>
    <xf numFmtId="0" fontId="29" fillId="0" borderId="0"/>
    <xf numFmtId="0" fontId="70" fillId="0" borderId="0"/>
    <xf numFmtId="0" fontId="64" fillId="0" borderId="0"/>
    <xf numFmtId="0" fontId="70" fillId="0" borderId="0"/>
    <xf numFmtId="0" fontId="64" fillId="0" borderId="0"/>
    <xf numFmtId="0" fontId="76"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6"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6" fillId="0" borderId="0"/>
    <xf numFmtId="0" fontId="64" fillId="0" borderId="0">
      <alignment vertical="top"/>
    </xf>
    <xf numFmtId="0" fontId="88" fillId="0" borderId="0"/>
    <xf numFmtId="0" fontId="88" fillId="0" borderId="0"/>
    <xf numFmtId="0" fontId="88" fillId="0" borderId="0"/>
    <xf numFmtId="0" fontId="88" fillId="0" borderId="0"/>
    <xf numFmtId="0" fontId="76" fillId="0" borderId="0"/>
    <xf numFmtId="0" fontId="29" fillId="0" borderId="0"/>
    <xf numFmtId="0" fontId="88" fillId="0" borderId="0"/>
    <xf numFmtId="0" fontId="29" fillId="0" borderId="0"/>
    <xf numFmtId="0" fontId="88" fillId="0" borderId="0"/>
    <xf numFmtId="0" fontId="88" fillId="0" borderId="0"/>
    <xf numFmtId="0" fontId="88" fillId="0" borderId="0"/>
    <xf numFmtId="0" fontId="88" fillId="0" borderId="0"/>
    <xf numFmtId="0" fontId="70" fillId="0" borderId="0"/>
    <xf numFmtId="0" fontId="64" fillId="0" borderId="0">
      <alignment vertical="top"/>
    </xf>
    <xf numFmtId="0" fontId="70" fillId="0" borderId="0"/>
    <xf numFmtId="0" fontId="64" fillId="0" borderId="0">
      <alignment vertical="top"/>
    </xf>
    <xf numFmtId="0" fontId="64" fillId="0" borderId="0">
      <alignment vertical="top"/>
    </xf>
    <xf numFmtId="0" fontId="88" fillId="0" borderId="0"/>
    <xf numFmtId="0" fontId="70"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64" fillId="0" borderId="0">
      <alignment vertical="top"/>
    </xf>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9" fillId="0" borderId="0"/>
    <xf numFmtId="0" fontId="88" fillId="0" borderId="0"/>
    <xf numFmtId="0" fontId="88" fillId="0" borderId="0"/>
    <xf numFmtId="0" fontId="88" fillId="0" borderId="0"/>
    <xf numFmtId="0" fontId="20" fillId="0" borderId="0" applyProtection="0">
      <protection locked="0"/>
    </xf>
    <xf numFmtId="0" fontId="29" fillId="0" borderId="0" applyProtection="0">
      <protection locked="0"/>
    </xf>
    <xf numFmtId="0" fontId="29" fillId="0" borderId="0" applyProtection="0">
      <protection locked="0"/>
    </xf>
    <xf numFmtId="0" fontId="65" fillId="0" borderId="0"/>
    <xf numFmtId="0" fontId="20" fillId="0" borderId="0"/>
    <xf numFmtId="0" fontId="80"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0"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88" fillId="41" borderId="24" applyNumberFormat="0" applyFont="0" applyAlignment="0" applyProtection="0"/>
    <xf numFmtId="0" fontId="103" fillId="36" borderId="25" applyNumberFormat="0" applyAlignment="0" applyProtection="0"/>
    <xf numFmtId="0" fontId="103" fillId="36" borderId="25" applyNumberFormat="0" applyAlignment="0" applyProtection="0"/>
    <xf numFmtId="0" fontId="25" fillId="0" borderId="0" applyNumberFormat="0" applyFill="0" applyBorder="0">
      <alignment horizontal="left"/>
    </xf>
    <xf numFmtId="0" fontId="104" fillId="0" borderId="0" applyNumberFormat="0" applyFill="0" applyBorder="0" applyAlignment="0" applyProtection="0"/>
    <xf numFmtId="0" fontId="105" fillId="0" borderId="26" applyNumberFormat="0" applyFill="0" applyAlignment="0" applyProtection="0"/>
    <xf numFmtId="0" fontId="105" fillId="0" borderId="26" applyNumberFormat="0" applyFill="0" applyAlignment="0" applyProtection="0"/>
    <xf numFmtId="0" fontId="106" fillId="0" borderId="0" applyNumberFormat="0" applyFill="0" applyBorder="0" applyAlignment="0" applyProtection="0"/>
    <xf numFmtId="0" fontId="20" fillId="0" borderId="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9" fontId="20" fillId="0" borderId="0" applyFont="0" applyFill="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1"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4" fontId="113"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114"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04" fillId="0" borderId="0" applyNumberForma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44" fontId="20" fillId="0" borderId="0" applyFont="0" applyFill="0" applyBorder="0" applyAlignment="0" applyProtection="0"/>
    <xf numFmtId="9" fontId="123" fillId="0" borderId="0" applyFont="0" applyFill="0" applyBorder="0" applyAlignment="0" applyProtection="0"/>
    <xf numFmtId="0" fontId="123" fillId="0" borderId="0"/>
    <xf numFmtId="0" fontId="14" fillId="0" borderId="0"/>
    <xf numFmtId="0" fontId="20"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43" fontId="150"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4" fontId="152"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0" fontId="6" fillId="0" borderId="0"/>
    <xf numFmtId="0" fontId="20" fillId="0" borderId="0" applyBorder="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90"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64" fillId="0" borderId="0">
      <alignment vertical="top"/>
    </xf>
    <xf numFmtId="0" fontId="64" fillId="0" borderId="0">
      <alignment vertical="top"/>
    </xf>
    <xf numFmtId="0" fontId="3" fillId="0" borderId="0"/>
    <xf numFmtId="0" fontId="3" fillId="0" borderId="0"/>
    <xf numFmtId="0" fontId="64" fillId="0" borderId="0">
      <alignment vertical="top"/>
    </xf>
    <xf numFmtId="0" fontId="191" fillId="0" borderId="0">
      <alignment vertical="top"/>
    </xf>
    <xf numFmtId="0" fontId="64" fillId="0" borderId="0">
      <alignment vertical="top"/>
    </xf>
    <xf numFmtId="0" fontId="64" fillId="0" borderId="0">
      <alignment vertical="top"/>
    </xf>
    <xf numFmtId="0" fontId="19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43" fontId="80" fillId="0" borderId="0" applyFont="0" applyFill="0" applyBorder="0" applyAlignment="0" applyProtection="0"/>
    <xf numFmtId="0" fontId="3" fillId="16" borderId="0" applyNumberFormat="0" applyBorder="0" applyAlignment="0" applyProtection="0"/>
    <xf numFmtId="0" fontId="3" fillId="22" borderId="0" applyNumberFormat="0" applyBorder="0" applyAlignment="0" applyProtection="0"/>
    <xf numFmtId="43" fontId="8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8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1"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1" borderId="24" applyNumberFormat="0" applyFont="0" applyAlignment="0" applyProtection="0"/>
    <xf numFmtId="44" fontId="3" fillId="0" borderId="0" applyFont="0" applyFill="0" applyBorder="0" applyAlignment="0" applyProtection="0"/>
    <xf numFmtId="0" fontId="3" fillId="41" borderId="24" applyNumberFormat="0" applyFont="0" applyAlignment="0" applyProtection="0"/>
    <xf numFmtId="0" fontId="3" fillId="13"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0" borderId="0"/>
    <xf numFmtId="0" fontId="3" fillId="0" borderId="0"/>
    <xf numFmtId="0" fontId="64" fillId="0" borderId="0">
      <alignment vertical="top"/>
    </xf>
    <xf numFmtId="0" fontId="64" fillId="0" borderId="0">
      <alignment vertical="top"/>
    </xf>
    <xf numFmtId="43"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102" fillId="0" borderId="0"/>
    <xf numFmtId="0" fontId="80" fillId="41" borderId="24" applyNumberFormat="0" applyFont="0" applyAlignment="0" applyProtection="0"/>
    <xf numFmtId="0" fontId="80" fillId="41" borderId="24" applyNumberFormat="0" applyFont="0" applyAlignment="0" applyProtection="0"/>
    <xf numFmtId="43" fontId="20" fillId="0" borderId="0" applyFont="0" applyFill="0" applyBorder="0" applyAlignment="0" applyProtection="0"/>
    <xf numFmtId="0" fontId="20"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20" fillId="0" borderId="0"/>
    <xf numFmtId="0" fontId="3" fillId="41" borderId="24" applyNumberFormat="0" applyFont="0" applyAlignment="0" applyProtection="0"/>
    <xf numFmtId="0" fontId="3" fillId="41" borderId="24" applyNumberFormat="0" applyFont="0" applyAlignment="0" applyProtection="0"/>
    <xf numFmtId="169" fontId="192"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9">
    <xf numFmtId="0" fontId="0" fillId="0" borderId="0" xfId="0"/>
    <xf numFmtId="0" fontId="0" fillId="0" borderId="0" xfId="0" applyAlignment="1">
      <alignment horizontal="center"/>
    </xf>
    <xf numFmtId="0" fontId="27" fillId="0" borderId="0" xfId="0" applyFont="1"/>
    <xf numFmtId="0" fontId="20" fillId="0" borderId="0" xfId="0" applyFont="1"/>
    <xf numFmtId="0" fontId="29" fillId="0" borderId="0" xfId="0" applyFont="1"/>
    <xf numFmtId="0" fontId="0" fillId="0" borderId="4" xfId="0" applyBorder="1"/>
    <xf numFmtId="0" fontId="29" fillId="0" borderId="0" xfId="0" applyFont="1" applyAlignment="1">
      <alignment horizontal="center"/>
    </xf>
    <xf numFmtId="0" fontId="20"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7" fillId="0" borderId="4" xfId="0" applyFont="1" applyBorder="1"/>
    <xf numFmtId="164" fontId="0" fillId="0" borderId="0" xfId="0" applyNumberFormat="1" applyAlignment="1">
      <alignment horizontal="right"/>
    </xf>
    <xf numFmtId="0" fontId="27" fillId="0" borderId="0" xfId="0" applyFont="1" applyAlignment="1">
      <alignment horizontal="center"/>
    </xf>
    <xf numFmtId="0" fontId="20" fillId="0" borderId="0" xfId="543"/>
    <xf numFmtId="0" fontId="29" fillId="0" borderId="0" xfId="0" applyFont="1" applyAlignment="1">
      <alignment horizontal="left" vertical="top" wrapText="1"/>
    </xf>
    <xf numFmtId="0" fontId="35" fillId="0" borderId="0" xfId="0" applyFont="1"/>
    <xf numFmtId="0" fontId="28" fillId="0" borderId="0" xfId="0" applyFont="1" applyAlignment="1">
      <alignment vertical="top"/>
    </xf>
    <xf numFmtId="0" fontId="28" fillId="0" borderId="0" xfId="0" applyFont="1" applyAlignment="1">
      <alignment vertical="top" wrapText="1"/>
    </xf>
    <xf numFmtId="0" fontId="29" fillId="0" borderId="0" xfId="0" applyFont="1" applyAlignment="1">
      <alignment horizontal="left" indent="4"/>
    </xf>
    <xf numFmtId="0" fontId="28" fillId="0" borderId="0" xfId="0" applyFont="1" applyAlignment="1">
      <alignment horizontal="left" vertical="top"/>
    </xf>
    <xf numFmtId="0" fontId="28" fillId="0" borderId="0" xfId="0" applyFont="1" applyAlignment="1">
      <alignment horizontal="left"/>
    </xf>
    <xf numFmtId="0" fontId="28" fillId="0" borderId="0" xfId="0" applyFont="1"/>
    <xf numFmtId="0" fontId="40" fillId="0" borderId="0" xfId="543" applyFont="1"/>
    <xf numFmtId="1" fontId="28" fillId="0" borderId="0" xfId="0" applyNumberFormat="1" applyFont="1" applyAlignment="1">
      <alignment horizontal="left"/>
    </xf>
    <xf numFmtId="0" fontId="30" fillId="0" borderId="0" xfId="0" applyFont="1"/>
    <xf numFmtId="1" fontId="28" fillId="0" borderId="0" xfId="0" applyNumberFormat="1" applyFont="1" applyAlignment="1">
      <alignment horizontal="right"/>
    </xf>
    <xf numFmtId="0" fontId="0" fillId="0" borderId="0" xfId="0" applyAlignment="1">
      <alignment horizontal="right"/>
    </xf>
    <xf numFmtId="0" fontId="39" fillId="0" borderId="0" xfId="0" applyFont="1"/>
    <xf numFmtId="0" fontId="32" fillId="0" borderId="0" xfId="0" applyFont="1"/>
    <xf numFmtId="172" fontId="20" fillId="0" borderId="0" xfId="543" applyNumberFormat="1"/>
    <xf numFmtId="9" fontId="20" fillId="0" borderId="0" xfId="543" applyNumberFormat="1" applyAlignment="1">
      <alignment horizontal="left"/>
    </xf>
    <xf numFmtId="168" fontId="20" fillId="0" borderId="0" xfId="543" applyNumberFormat="1"/>
    <xf numFmtId="0" fontId="29" fillId="0" borderId="0" xfId="0" applyFont="1" applyAlignment="1">
      <alignment horizontal="right"/>
    </xf>
    <xf numFmtId="0" fontId="43" fillId="0" borderId="0" xfId="0" applyFont="1"/>
    <xf numFmtId="0" fontId="29" fillId="0" borderId="0" xfId="0" applyFont="1" applyAlignment="1">
      <alignment horizontal="left"/>
    </xf>
    <xf numFmtId="0" fontId="31" fillId="0" borderId="0" xfId="0" applyFont="1"/>
    <xf numFmtId="0" fontId="33" fillId="0" borderId="0" xfId="0" applyFont="1"/>
    <xf numFmtId="0" fontId="27"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7" fillId="0" borderId="1" xfId="0" applyFont="1" applyBorder="1" applyAlignment="1">
      <alignment horizontal="center" wrapText="1"/>
    </xf>
    <xf numFmtId="0" fontId="27"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7" fillId="0" borderId="4" xfId="0" applyFont="1" applyBorder="1" applyAlignment="1">
      <alignment horizontal="center"/>
    </xf>
    <xf numFmtId="0" fontId="36" fillId="0" borderId="3" xfId="0" applyFont="1" applyBorder="1" applyAlignment="1">
      <alignment horizontal="left"/>
    </xf>
    <xf numFmtId="0" fontId="36" fillId="0" borderId="9" xfId="0" applyFont="1" applyBorder="1" applyAlignment="1">
      <alignment horizontal="left"/>
    </xf>
    <xf numFmtId="0" fontId="27" fillId="0" borderId="4" xfId="0" applyFont="1" applyBorder="1" applyAlignment="1">
      <alignment horizontal="right"/>
    </xf>
    <xf numFmtId="0" fontId="27" fillId="0" borderId="5" xfId="0" applyFont="1" applyBorder="1" applyAlignment="1">
      <alignment horizontal="right"/>
    </xf>
    <xf numFmtId="0" fontId="36" fillId="0" borderId="0" xfId="0" applyFont="1" applyAlignment="1">
      <alignment horizontal="left"/>
    </xf>
    <xf numFmtId="0" fontId="27" fillId="0" borderId="0" xfId="0" applyFont="1" applyAlignment="1">
      <alignment horizontal="right"/>
    </xf>
    <xf numFmtId="0" fontId="27"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9" fillId="0" borderId="11" xfId="0" applyFont="1" applyBorder="1" applyAlignment="1">
      <alignment horizontal="left"/>
    </xf>
    <xf numFmtId="0" fontId="27" fillId="0" borderId="9" xfId="0" applyFont="1" applyBorder="1"/>
    <xf numFmtId="164" fontId="0" fillId="0" borderId="0" xfId="0" applyNumberFormat="1" applyAlignment="1">
      <alignment horizontal="center"/>
    </xf>
    <xf numFmtId="0" fontId="0" fillId="0" borderId="12" xfId="0" applyBorder="1"/>
    <xf numFmtId="0" fontId="29" fillId="0" borderId="3" xfId="0" applyFont="1" applyBorder="1"/>
    <xf numFmtId="0" fontId="29" fillId="0" borderId="0" xfId="543" applyFont="1"/>
    <xf numFmtId="0" fontId="45" fillId="0" borderId="0" xfId="543" applyFont="1"/>
    <xf numFmtId="49" fontId="20" fillId="0" borderId="0" xfId="543" applyNumberFormat="1"/>
    <xf numFmtId="0" fontId="43" fillId="0" borderId="0" xfId="543" applyFont="1"/>
    <xf numFmtId="168" fontId="40" fillId="0" borderId="6" xfId="543" applyNumberFormat="1" applyFont="1" applyBorder="1" applyAlignment="1">
      <alignment horizontal="left"/>
    </xf>
    <xf numFmtId="168" fontId="40" fillId="0" borderId="6" xfId="543" applyNumberFormat="1" applyFont="1" applyBorder="1" applyAlignment="1">
      <alignment horizontal="center"/>
    </xf>
    <xf numFmtId="0" fontId="20" fillId="0" borderId="8" xfId="543" applyBorder="1"/>
    <xf numFmtId="0" fontId="40" fillId="0" borderId="0" xfId="543" applyFont="1" applyAlignment="1">
      <alignment horizontal="center"/>
    </xf>
    <xf numFmtId="0" fontId="39" fillId="0" borderId="9" xfId="543" applyFont="1" applyBorder="1" applyAlignment="1">
      <alignment horizontal="left" vertical="top" wrapText="1"/>
    </xf>
    <xf numFmtId="0" fontId="39" fillId="0" borderId="6" xfId="543" applyFont="1" applyBorder="1" applyAlignment="1">
      <alignment horizontal="center" vertical="top" wrapText="1"/>
    </xf>
    <xf numFmtId="0" fontId="20" fillId="0" borderId="9" xfId="543" applyBorder="1"/>
    <xf numFmtId="0" fontId="20" fillId="0" borderId="10" xfId="543" applyBorder="1"/>
    <xf numFmtId="0" fontId="20" fillId="0" borderId="1" xfId="543" applyBorder="1"/>
    <xf numFmtId="0" fontId="40" fillId="0" borderId="2" xfId="543" applyFont="1" applyBorder="1" applyAlignment="1">
      <alignment horizontal="center"/>
    </xf>
    <xf numFmtId="0" fontId="42" fillId="0" borderId="8" xfId="543" applyFont="1" applyBorder="1" applyAlignment="1">
      <alignment horizontal="left" vertical="top" wrapText="1"/>
    </xf>
    <xf numFmtId="0" fontId="39" fillId="0" borderId="0" xfId="543" applyFont="1" applyAlignment="1">
      <alignment horizontal="center" vertical="top" wrapText="1"/>
    </xf>
    <xf numFmtId="0" fontId="20" fillId="0" borderId="12" xfId="543" applyBorder="1"/>
    <xf numFmtId="0" fontId="42" fillId="0" borderId="0" xfId="543" applyFont="1" applyAlignment="1">
      <alignment horizontal="center" vertical="top" wrapText="1"/>
    </xf>
    <xf numFmtId="0" fontId="42" fillId="0" borderId="9" xfId="543" applyFont="1" applyBorder="1" applyAlignment="1">
      <alignment horizontal="left" vertical="top" wrapText="1"/>
    </xf>
    <xf numFmtId="0" fontId="20" fillId="0" borderId="2" xfId="543" applyBorder="1"/>
    <xf numFmtId="0" fontId="20" fillId="0" borderId="7" xfId="543" applyBorder="1"/>
    <xf numFmtId="0" fontId="39" fillId="0" borderId="0" xfId="543" applyFont="1"/>
    <xf numFmtId="0" fontId="20" fillId="0" borderId="0" xfId="543" applyAlignment="1">
      <alignment horizontal="center"/>
    </xf>
    <xf numFmtId="0" fontId="28" fillId="0" borderId="6" xfId="543" applyFont="1" applyBorder="1" applyAlignment="1">
      <alignment vertical="top" wrapText="1"/>
    </xf>
    <xf numFmtId="0" fontId="29" fillId="0" borderId="0" xfId="0" applyFont="1" applyAlignment="1">
      <alignment horizontal="left" vertical="top"/>
    </xf>
    <xf numFmtId="0" fontId="0" fillId="2" borderId="2" xfId="0" applyFill="1" applyBorder="1"/>
    <xf numFmtId="0" fontId="0" fillId="2" borderId="7" xfId="0" applyFill="1" applyBorder="1"/>
    <xf numFmtId="0" fontId="27" fillId="0" borderId="6" xfId="0" applyFont="1" applyBorder="1" applyAlignment="1">
      <alignment horizontal="right"/>
    </xf>
    <xf numFmtId="0" fontId="26" fillId="0" borderId="0" xfId="0" applyFont="1" applyAlignment="1">
      <alignment horizontal="center" vertical="center"/>
    </xf>
    <xf numFmtId="0" fontId="27" fillId="0" borderId="0" xfId="0" applyFont="1" applyAlignment="1">
      <alignment vertical="top"/>
    </xf>
    <xf numFmtId="166" fontId="0" fillId="0" borderId="0" xfId="0" applyNumberFormat="1" applyAlignment="1">
      <alignment horizontal="right"/>
    </xf>
    <xf numFmtId="0" fontId="50" fillId="0" borderId="0" xfId="0" applyFont="1"/>
    <xf numFmtId="0" fontId="37" fillId="0" borderId="0" xfId="0" applyFont="1"/>
    <xf numFmtId="0" fontId="21" fillId="0" borderId="0" xfId="244" applyBorder="1" applyProtection="1"/>
    <xf numFmtId="0" fontId="21" fillId="0" borderId="0" xfId="244" applyFill="1" applyBorder="1" applyAlignment="1">
      <alignment horizontal="center" vertical="center"/>
    </xf>
    <xf numFmtId="0" fontId="20" fillId="0" borderId="3" xfId="543" applyBorder="1"/>
    <xf numFmtId="0" fontId="42" fillId="0" borderId="4" xfId="543" applyFont="1" applyBorder="1" applyAlignment="1">
      <alignment horizontal="right" vertical="top" wrapText="1"/>
    </xf>
    <xf numFmtId="0" fontId="29" fillId="0" borderId="6" xfId="0" applyFont="1" applyBorder="1"/>
    <xf numFmtId="0" fontId="29" fillId="0" borderId="2" xfId="0" applyFont="1" applyBorder="1"/>
    <xf numFmtId="0" fontId="29" fillId="0" borderId="7" xfId="0" applyFont="1" applyBorder="1"/>
    <xf numFmtId="0" fontId="29" fillId="0" borderId="12" xfId="0" applyFont="1" applyBorder="1"/>
    <xf numFmtId="0" fontId="29" fillId="0" borderId="9" xfId="0" applyFont="1" applyBorder="1"/>
    <xf numFmtId="0" fontId="29" fillId="0" borderId="10" xfId="0" applyFont="1" applyBorder="1"/>
    <xf numFmtId="0" fontId="34" fillId="0" borderId="6" xfId="0" applyFont="1" applyBorder="1" applyAlignment="1">
      <alignment vertical="top" wrapText="1"/>
    </xf>
    <xf numFmtId="0" fontId="34" fillId="0" borderId="5" xfId="0" applyFont="1" applyBorder="1" applyAlignment="1">
      <alignment vertical="top" wrapText="1"/>
    </xf>
    <xf numFmtId="0" fontId="34" fillId="0" borderId="4" xfId="0" applyFont="1" applyBorder="1" applyAlignment="1">
      <alignment vertical="top" wrapText="1"/>
    </xf>
    <xf numFmtId="0" fontId="34" fillId="2" borderId="6" xfId="0" applyFont="1" applyFill="1" applyBorder="1" applyAlignment="1">
      <alignment vertical="top" wrapText="1"/>
    </xf>
    <xf numFmtId="0" fontId="0" fillId="0" borderId="8" xfId="0" applyBorder="1"/>
    <xf numFmtId="0" fontId="27" fillId="0" borderId="2" xfId="0" applyFont="1" applyBorder="1"/>
    <xf numFmtId="0" fontId="29" fillId="0" borderId="0" xfId="0" applyFont="1" applyAlignment="1">
      <alignment vertical="top"/>
    </xf>
    <xf numFmtId="0" fontId="29" fillId="0" borderId="0" xfId="0" applyFont="1" applyAlignment="1">
      <alignment vertical="top" wrapText="1"/>
    </xf>
    <xf numFmtId="0" fontId="20" fillId="0" borderId="0" xfId="0" applyFont="1" applyAlignment="1">
      <alignment horizontal="left"/>
    </xf>
    <xf numFmtId="0" fontId="20" fillId="0" borderId="0" xfId="0" applyFont="1" applyAlignment="1">
      <alignment vertical="top"/>
    </xf>
    <xf numFmtId="0" fontId="49" fillId="0" borderId="0" xfId="0" applyFont="1"/>
    <xf numFmtId="0" fontId="20" fillId="0" borderId="3" xfId="0" applyFont="1" applyBorder="1"/>
    <xf numFmtId="0" fontId="20"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4" fillId="3" borderId="4" xfId="0" applyFont="1" applyFill="1" applyBorder="1" applyAlignment="1">
      <alignment vertical="top" wrapText="1"/>
    </xf>
    <xf numFmtId="0" fontId="34" fillId="3" borderId="5" xfId="0" applyFont="1" applyFill="1" applyBorder="1" applyAlignment="1">
      <alignment vertical="top" wrapText="1"/>
    </xf>
    <xf numFmtId="0" fontId="52" fillId="0" borderId="0" xfId="0" applyFont="1"/>
    <xf numFmtId="0" fontId="29" fillId="0" borderId="4" xfId="0" applyFont="1" applyBorder="1"/>
    <xf numFmtId="0" fontId="27" fillId="0" borderId="2" xfId="0" applyFont="1" applyBorder="1" applyAlignment="1">
      <alignment horizontal="center"/>
    </xf>
    <xf numFmtId="0" fontId="27" fillId="0" borderId="0" xfId="0" applyFont="1" applyAlignment="1">
      <alignment horizontal="center" vertical="center" wrapText="1"/>
    </xf>
    <xf numFmtId="0" fontId="27" fillId="0" borderId="7" xfId="543" applyFont="1" applyBorder="1" applyAlignment="1">
      <alignment horizontal="right"/>
    </xf>
    <xf numFmtId="0" fontId="28" fillId="0" borderId="9" xfId="543" applyFont="1" applyBorder="1"/>
    <xf numFmtId="0" fontId="29" fillId="0" borderId="6" xfId="543" applyFont="1" applyBorder="1"/>
    <xf numFmtId="0" fontId="28" fillId="0" borderId="6" xfId="543" applyFont="1" applyBorder="1" applyAlignment="1">
      <alignment horizontal="right"/>
    </xf>
    <xf numFmtId="0" fontId="27" fillId="0" borderId="0" xfId="0" applyFont="1" applyAlignment="1">
      <alignment horizontal="center" vertical="center"/>
    </xf>
    <xf numFmtId="0" fontId="29" fillId="0" borderId="0" xfId="0" applyFont="1" applyAlignment="1">
      <alignment horizontal="left" vertical="center"/>
    </xf>
    <xf numFmtId="0" fontId="57" fillId="0" borderId="3" xfId="0" applyFont="1" applyBorder="1" applyAlignment="1">
      <alignment horizontal="left" vertical="top"/>
    </xf>
    <xf numFmtId="0" fontId="57" fillId="0" borderId="13" xfId="0" applyFont="1" applyBorder="1" applyAlignment="1">
      <alignment horizontal="center" wrapText="1"/>
    </xf>
    <xf numFmtId="0" fontId="57" fillId="0" borderId="13" xfId="0" applyFont="1" applyBorder="1" applyAlignment="1">
      <alignment horizontal="center" vertical="top" wrapText="1"/>
    </xf>
    <xf numFmtId="0" fontId="57" fillId="2" borderId="13" xfId="0" applyFont="1" applyFill="1" applyBorder="1" applyAlignment="1">
      <alignment horizontal="center" wrapText="1"/>
    </xf>
    <xf numFmtId="0" fontId="58" fillId="2" borderId="11" xfId="0" applyFont="1" applyFill="1" applyBorder="1" applyAlignment="1">
      <alignment horizontal="left" vertical="top" wrapText="1"/>
    </xf>
    <xf numFmtId="0" fontId="59" fillId="4" borderId="11" xfId="0" applyFont="1" applyFill="1" applyBorder="1" applyAlignment="1">
      <alignment vertical="top" wrapText="1"/>
    </xf>
    <xf numFmtId="0" fontId="59" fillId="2" borderId="11" xfId="0" applyFont="1" applyFill="1" applyBorder="1" applyAlignment="1">
      <alignment vertical="top" wrapText="1"/>
    </xf>
    <xf numFmtId="0" fontId="59" fillId="0" borderId="11" xfId="0" applyFont="1" applyBorder="1" applyAlignment="1">
      <alignment vertical="top" wrapText="1"/>
    </xf>
    <xf numFmtId="0" fontId="59" fillId="0" borderId="11" xfId="0" applyFont="1" applyBorder="1" applyAlignment="1">
      <alignment horizontal="right" vertical="top" wrapText="1"/>
    </xf>
    <xf numFmtId="168" fontId="59" fillId="0" borderId="11" xfId="0" applyNumberFormat="1" applyFont="1" applyBorder="1" applyAlignment="1">
      <alignment vertical="top" wrapText="1"/>
    </xf>
    <xf numFmtId="168" fontId="59" fillId="5" borderId="11" xfId="0" applyNumberFormat="1" applyFont="1" applyFill="1" applyBorder="1" applyAlignment="1" applyProtection="1">
      <alignment vertical="top" wrapText="1"/>
      <protection locked="0"/>
    </xf>
    <xf numFmtId="168" fontId="59" fillId="6" borderId="11" xfId="0" applyNumberFormat="1" applyFont="1" applyFill="1" applyBorder="1" applyAlignment="1">
      <alignment horizontal="center"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9" fillId="4" borderId="11" xfId="0" applyNumberFormat="1"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23" fillId="0" borderId="11" xfId="0" applyFont="1" applyBorder="1" applyAlignment="1">
      <alignment horizontal="right" vertical="top" wrapText="1"/>
    </xf>
    <xf numFmtId="0" fontId="59" fillId="0" borderId="11" xfId="0" applyFont="1" applyBorder="1" applyAlignment="1" applyProtection="1">
      <alignment horizontal="right" vertical="top" wrapText="1"/>
      <protection locked="0"/>
    </xf>
    <xf numFmtId="0" fontId="57" fillId="0" borderId="0" xfId="0" applyFont="1" applyAlignment="1">
      <alignment horizontal="left" vertical="top"/>
    </xf>
    <xf numFmtId="0" fontId="59" fillId="0" borderId="0" xfId="0" applyFont="1" applyAlignment="1">
      <alignment horizontal="left" vertical="top"/>
    </xf>
    <xf numFmtId="0" fontId="59" fillId="0" borderId="0" xfId="0" applyFont="1" applyAlignment="1">
      <alignment vertical="top" wrapText="1"/>
    </xf>
    <xf numFmtId="0" fontId="59" fillId="0" borderId="0" xfId="0" applyFont="1" applyAlignment="1">
      <alignment vertical="top"/>
    </xf>
    <xf numFmtId="0" fontId="57" fillId="0" borderId="0" xfId="0" applyFont="1" applyAlignment="1">
      <alignment horizontal="right" vertical="top"/>
    </xf>
    <xf numFmtId="0" fontId="59" fillId="2" borderId="0" xfId="0" applyFont="1" applyFill="1" applyAlignment="1">
      <alignment vertical="top" wrapText="1"/>
    </xf>
    <xf numFmtId="0" fontId="57" fillId="0" borderId="0" xfId="0" applyFont="1" applyAlignment="1">
      <alignment vertical="top"/>
    </xf>
    <xf numFmtId="166" fontId="29" fillId="0" borderId="0" xfId="0" applyNumberFormat="1" applyFont="1" applyAlignment="1">
      <alignment horizontal="left"/>
    </xf>
    <xf numFmtId="0" fontId="60" fillId="0" borderId="0" xfId="0" applyFont="1"/>
    <xf numFmtId="0" fontId="20" fillId="0" borderId="0" xfId="244" applyFont="1" applyFill="1" applyBorder="1" applyAlignment="1" applyProtection="1">
      <alignment horizontal="left"/>
    </xf>
    <xf numFmtId="0" fontId="51" fillId="0" borderId="0" xfId="0" applyFont="1"/>
    <xf numFmtId="0" fontId="51" fillId="0" borderId="0" xfId="244" applyFont="1" applyFill="1" applyBorder="1" applyAlignment="1" applyProtection="1">
      <alignment horizontal="left"/>
    </xf>
    <xf numFmtId="0" fontId="26" fillId="3" borderId="11" xfId="0" applyFont="1" applyFill="1" applyBorder="1" applyAlignment="1">
      <alignment vertical="top"/>
    </xf>
    <xf numFmtId="0" fontId="0" fillId="7" borderId="0" xfId="0" applyFill="1"/>
    <xf numFmtId="0" fontId="40" fillId="0" borderId="0" xfId="0" applyFont="1"/>
    <xf numFmtId="0" fontId="62" fillId="0" borderId="0" xfId="0" applyFont="1"/>
    <xf numFmtId="0" fontId="38" fillId="0" borderId="0" xfId="0" applyFont="1" applyAlignment="1">
      <alignment horizontal="center"/>
    </xf>
    <xf numFmtId="0" fontId="38" fillId="0" borderId="0" xfId="0" applyFont="1" applyAlignment="1">
      <alignment horizontal="left"/>
    </xf>
    <xf numFmtId="49" fontId="27" fillId="0" borderId="0" xfId="0" applyNumberFormat="1" applyFont="1" applyAlignment="1">
      <alignment horizontal="center"/>
    </xf>
    <xf numFmtId="0" fontId="54" fillId="0" borderId="0" xfId="0" applyFont="1" applyAlignment="1">
      <alignment horizontal="center"/>
    </xf>
    <xf numFmtId="168" fontId="29" fillId="0" borderId="0" xfId="0" applyNumberFormat="1" applyFont="1" applyAlignment="1">
      <alignment horizontal="center"/>
    </xf>
    <xf numFmtId="168" fontId="39" fillId="0" borderId="0" xfId="0" applyNumberFormat="1" applyFont="1" applyAlignment="1">
      <alignment horizontal="left" vertical="top" wrapText="1"/>
    </xf>
    <xf numFmtId="0" fontId="56" fillId="0" borderId="3" xfId="0" applyFont="1" applyBorder="1"/>
    <xf numFmtId="168" fontId="0" fillId="0" borderId="0" xfId="0" applyNumberFormat="1" applyAlignment="1">
      <alignment horizontal="center"/>
    </xf>
    <xf numFmtId="0" fontId="40" fillId="0" borderId="0" xfId="0" applyFont="1" applyAlignment="1">
      <alignment vertical="top" wrapText="1"/>
    </xf>
    <xf numFmtId="0" fontId="57" fillId="0" borderId="4" xfId="0" applyFont="1" applyBorder="1" applyAlignment="1">
      <alignment horizontal="right"/>
    </xf>
    <xf numFmtId="0" fontId="64" fillId="0" borderId="0" xfId="0" applyFont="1"/>
    <xf numFmtId="3" fontId="29" fillId="0" borderId="0" xfId="0" applyNumberFormat="1" applyFont="1" applyAlignment="1">
      <alignment horizontal="center"/>
    </xf>
    <xf numFmtId="168" fontId="20" fillId="0" borderId="0" xfId="0" applyNumberFormat="1" applyFont="1" applyAlignment="1">
      <alignment horizontal="left" vertical="top"/>
    </xf>
    <xf numFmtId="168" fontId="29" fillId="0" borderId="0" xfId="0" applyNumberFormat="1" applyFont="1" applyAlignment="1">
      <alignment horizontal="left" vertical="top"/>
    </xf>
    <xf numFmtId="0" fontId="59" fillId="0" borderId="11" xfId="0" applyFont="1" applyBorder="1" applyAlignment="1">
      <alignment horizontal="right" vertical="top"/>
    </xf>
    <xf numFmtId="0" fontId="59" fillId="0" borderId="0" xfId="0" applyFont="1" applyAlignment="1">
      <alignment horizontal="right" vertical="top" wrapText="1"/>
    </xf>
    <xf numFmtId="0" fontId="59" fillId="2" borderId="12" xfId="0" applyFont="1" applyFill="1" applyBorder="1" applyAlignment="1">
      <alignment vertical="top" wrapText="1"/>
    </xf>
    <xf numFmtId="0" fontId="59" fillId="0" borderId="14" xfId="0" applyFont="1" applyBorder="1" applyAlignment="1">
      <alignment vertical="top" wrapText="1"/>
    </xf>
    <xf numFmtId="168" fontId="59" fillId="5" borderId="11" xfId="0" applyNumberFormat="1" applyFont="1" applyFill="1" applyBorder="1" applyAlignment="1" applyProtection="1">
      <alignment vertical="top"/>
      <protection locked="0"/>
    </xf>
    <xf numFmtId="0" fontId="59" fillId="2" borderId="11" xfId="0" applyFont="1" applyFill="1" applyBorder="1" applyAlignment="1" applyProtection="1">
      <alignment vertical="top"/>
      <protection locked="0"/>
    </xf>
    <xf numFmtId="0" fontId="59" fillId="0" borderId="11" xfId="0" applyFont="1" applyBorder="1" applyAlignment="1" applyProtection="1">
      <alignment vertical="top"/>
      <protection locked="0"/>
    </xf>
    <xf numFmtId="168" fontId="59" fillId="0" borderId="11" xfId="0" applyNumberFormat="1" applyFont="1" applyBorder="1" applyAlignment="1">
      <alignment vertical="top"/>
    </xf>
    <xf numFmtId="168" fontId="59" fillId="6" borderId="11" xfId="0" applyNumberFormat="1" applyFont="1" applyFill="1" applyBorder="1" applyAlignment="1">
      <alignment horizontal="center" vertical="top"/>
    </xf>
    <xf numFmtId="0" fontId="27" fillId="0" borderId="0" xfId="542" applyFont="1" applyProtection="1">
      <protection locked="0"/>
    </xf>
    <xf numFmtId="0" fontId="20" fillId="0" borderId="0" xfId="539" applyProtection="1"/>
    <xf numFmtId="0" fontId="40" fillId="8" borderId="0" xfId="539" applyFont="1" applyFill="1" applyAlignment="1" applyProtection="1">
      <alignment horizontal="centerContinuous"/>
    </xf>
    <xf numFmtId="0" fontId="27" fillId="0" borderId="0" xfId="543" applyFont="1"/>
    <xf numFmtId="0" fontId="29" fillId="0" borderId="0" xfId="543" applyFont="1" applyAlignment="1">
      <alignment horizontal="left"/>
    </xf>
    <xf numFmtId="0" fontId="29" fillId="0" borderId="15" xfId="0" applyFont="1" applyBorder="1"/>
    <xf numFmtId="2" fontId="43" fillId="0" borderId="11" xfId="0" applyNumberFormat="1" applyFont="1" applyBorder="1"/>
    <xf numFmtId="0" fontId="20" fillId="0" borderId="0" xfId="0" applyFont="1" applyProtection="1">
      <protection locked="0"/>
    </xf>
    <xf numFmtId="0" fontId="67" fillId="0" borderId="0" xfId="0" applyFont="1" applyAlignment="1">
      <alignment horizontal="center"/>
    </xf>
    <xf numFmtId="0" fontId="29" fillId="0" borderId="0" xfId="271"/>
    <xf numFmtId="0" fontId="27" fillId="0" borderId="0" xfId="271" applyFont="1"/>
    <xf numFmtId="0" fontId="29" fillId="0" borderId="0" xfId="271" applyAlignment="1">
      <alignment horizontal="left"/>
    </xf>
    <xf numFmtId="168" fontId="27" fillId="0" borderId="2" xfId="543" applyNumberFormat="1" applyFont="1" applyBorder="1" applyAlignment="1">
      <alignment horizontal="center" vertical="center"/>
    </xf>
    <xf numFmtId="0" fontId="42" fillId="0" borderId="0" xfId="543" applyFont="1" applyAlignment="1">
      <alignment horizontal="right" vertical="top" wrapText="1"/>
    </xf>
    <xf numFmtId="0" fontId="40" fillId="0" borderId="2" xfId="543" applyFont="1" applyBorder="1" applyAlignment="1">
      <alignment horizontal="right" vertical="top" wrapText="1"/>
    </xf>
    <xf numFmtId="0" fontId="25" fillId="0" borderId="0" xfId="0" applyFont="1"/>
    <xf numFmtId="0" fontId="69" fillId="0" borderId="0" xfId="0" applyFont="1"/>
    <xf numFmtId="0" fontId="67" fillId="0" borderId="0" xfId="0" applyFont="1"/>
    <xf numFmtId="0" fontId="40"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7" fillId="0" borderId="0" xfId="0" applyNumberFormat="1" applyFont="1" applyAlignment="1">
      <alignment horizontal="center"/>
    </xf>
    <xf numFmtId="3" fontId="29" fillId="0" borderId="0" xfId="0" applyNumberFormat="1" applyFont="1"/>
    <xf numFmtId="0" fontId="68" fillId="0" borderId="0" xfId="0" applyFont="1"/>
    <xf numFmtId="168" fontId="25" fillId="0" borderId="0" xfId="0" applyNumberFormat="1" applyFont="1"/>
    <xf numFmtId="10" fontId="25" fillId="0" borderId="0" xfId="0" applyNumberFormat="1" applyFont="1" applyAlignment="1">
      <alignment horizontal="center"/>
    </xf>
    <xf numFmtId="3" fontId="71" fillId="0" borderId="0" xfId="0" applyNumberFormat="1" applyFont="1"/>
    <xf numFmtId="3" fontId="25" fillId="0" borderId="0" xfId="0" applyNumberFormat="1" applyFont="1"/>
    <xf numFmtId="168" fontId="68" fillId="0" borderId="0" xfId="0" applyNumberFormat="1" applyFont="1"/>
    <xf numFmtId="168" fontId="68" fillId="0" borderId="0" xfId="0" applyNumberFormat="1" applyFont="1" applyAlignment="1">
      <alignment horizontal="center"/>
    </xf>
    <xf numFmtId="0" fontId="25" fillId="5" borderId="0" xfId="0" applyFont="1" applyFill="1" applyAlignment="1">
      <alignment horizontal="left"/>
    </xf>
    <xf numFmtId="0" fontId="25" fillId="5" borderId="0" xfId="0" applyFont="1" applyFill="1"/>
    <xf numFmtId="10" fontId="25" fillId="0" borderId="0" xfId="0" applyNumberFormat="1" applyFont="1"/>
    <xf numFmtId="172" fontId="25" fillId="0" borderId="0" xfId="0" applyNumberFormat="1" applyFont="1"/>
    <xf numFmtId="172" fontId="25" fillId="0" borderId="0" xfId="0" applyNumberFormat="1" applyFont="1" applyAlignment="1">
      <alignment horizontal="center"/>
    </xf>
    <xf numFmtId="0" fontId="25" fillId="0" borderId="6" xfId="0" applyFont="1" applyBorder="1"/>
    <xf numFmtId="10" fontId="25" fillId="0" borderId="6" xfId="0" applyNumberFormat="1" applyFont="1" applyBorder="1" applyAlignment="1">
      <alignment horizontal="center"/>
    </xf>
    <xf numFmtId="3" fontId="25" fillId="0" borderId="6" xfId="0" applyNumberFormat="1" applyFont="1" applyBorder="1"/>
    <xf numFmtId="10" fontId="29" fillId="0" borderId="0" xfId="0" applyNumberFormat="1" applyFont="1" applyAlignment="1">
      <alignment horizontal="center"/>
    </xf>
    <xf numFmtId="3" fontId="29" fillId="0" borderId="0" xfId="0" applyNumberFormat="1" applyFont="1" applyAlignment="1">
      <alignment vertical="top"/>
    </xf>
    <xf numFmtId="10" fontId="27" fillId="0" borderId="0" xfId="0" applyNumberFormat="1" applyFont="1" applyAlignment="1">
      <alignment horizontal="center"/>
    </xf>
    <xf numFmtId="0" fontId="67" fillId="0" borderId="6" xfId="0" applyFont="1" applyBorder="1" applyAlignment="1">
      <alignment horizontal="center"/>
    </xf>
    <xf numFmtId="172" fontId="29" fillId="0" borderId="0" xfId="0" applyNumberFormat="1" applyFont="1" applyAlignment="1">
      <alignment horizontal="center"/>
    </xf>
    <xf numFmtId="10" fontId="72" fillId="0" borderId="0" xfId="0" applyNumberFormat="1" applyFont="1" applyAlignment="1">
      <alignment horizontal="center"/>
    </xf>
    <xf numFmtId="0" fontId="29" fillId="9" borderId="6" xfId="0" applyFont="1" applyFill="1" applyBorder="1"/>
    <xf numFmtId="0" fontId="29" fillId="0" borderId="4" xfId="271" applyBorder="1"/>
    <xf numFmtId="0" fontId="29" fillId="0" borderId="6" xfId="271" applyBorder="1"/>
    <xf numFmtId="0" fontId="29" fillId="0" borderId="1" xfId="0" applyFont="1" applyBorder="1"/>
    <xf numFmtId="168" fontId="29" fillId="0" borderId="3" xfId="0" applyNumberFormat="1" applyFont="1" applyBorder="1" applyAlignment="1">
      <alignment vertical="top"/>
    </xf>
    <xf numFmtId="168" fontId="29" fillId="0" borderId="4" xfId="0" applyNumberFormat="1" applyFont="1" applyBorder="1" applyAlignment="1">
      <alignment vertical="top"/>
    </xf>
    <xf numFmtId="168" fontId="29" fillId="0" borderId="5" xfId="0" applyNumberFormat="1" applyFont="1" applyBorder="1" applyAlignment="1">
      <alignment vertical="top"/>
    </xf>
    <xf numFmtId="168" fontId="29" fillId="0" borderId="8" xfId="0" applyNumberFormat="1" applyFont="1" applyBorder="1" applyAlignment="1">
      <alignment vertical="top"/>
    </xf>
    <xf numFmtId="168" fontId="29" fillId="0" borderId="0" xfId="0" applyNumberFormat="1" applyFont="1" applyAlignment="1">
      <alignment vertical="top"/>
    </xf>
    <xf numFmtId="0" fontId="29" fillId="0" borderId="0" xfId="0" applyFont="1" applyAlignment="1">
      <alignment horizontal="right" vertical="top"/>
    </xf>
    <xf numFmtId="0" fontId="29"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9" fillId="5" borderId="4" xfId="0" applyFont="1" applyFill="1" applyBorder="1" applyAlignment="1" applyProtection="1">
      <alignment horizontal="left" vertical="top"/>
      <protection locked="0"/>
    </xf>
    <xf numFmtId="0" fontId="29" fillId="5" borderId="5" xfId="0" applyFont="1" applyFill="1" applyBorder="1" applyAlignment="1" applyProtection="1">
      <alignment horizontal="left" vertical="top"/>
      <protection locked="0"/>
    </xf>
    <xf numFmtId="4" fontId="54" fillId="0" borderId="0" xfId="0" applyNumberFormat="1" applyFont="1" applyAlignment="1">
      <alignment horizontal="center"/>
    </xf>
    <xf numFmtId="0" fontId="39" fillId="0" borderId="1" xfId="543" applyFont="1" applyBorder="1" applyAlignment="1">
      <alignment horizontal="left" vertical="top" wrapText="1"/>
    </xf>
    <xf numFmtId="0" fontId="39" fillId="0" borderId="12" xfId="543" applyFont="1" applyBorder="1" applyAlignment="1">
      <alignment horizontal="center" vertical="top" wrapText="1"/>
    </xf>
    <xf numFmtId="0" fontId="39" fillId="0" borderId="8" xfId="543" applyFont="1" applyBorder="1" applyAlignment="1">
      <alignment horizontal="left" vertical="top" wrapText="1"/>
    </xf>
    <xf numFmtId="0" fontId="34" fillId="3" borderId="4" xfId="271" applyFont="1" applyFill="1" applyBorder="1" applyAlignment="1">
      <alignment vertical="top" wrapText="1"/>
    </xf>
    <xf numFmtId="0" fontId="26" fillId="3" borderId="11" xfId="271" applyFont="1" applyFill="1" applyBorder="1" applyAlignment="1">
      <alignment vertical="top"/>
    </xf>
    <xf numFmtId="0" fontId="27" fillId="0" borderId="9" xfId="271" applyFont="1" applyBorder="1" applyAlignment="1">
      <alignment horizontal="center" wrapText="1"/>
    </xf>
    <xf numFmtId="0" fontId="34" fillId="3" borderId="4" xfId="271" applyFont="1" applyFill="1" applyBorder="1" applyAlignment="1" applyProtection="1">
      <alignment vertical="top" wrapText="1"/>
      <protection locked="0"/>
    </xf>
    <xf numFmtId="0" fontId="34" fillId="3" borderId="5" xfId="271" applyFont="1" applyFill="1" applyBorder="1" applyAlignment="1" applyProtection="1">
      <alignment vertical="top" wrapText="1"/>
      <protection locked="0"/>
    </xf>
    <xf numFmtId="0" fontId="27" fillId="0" borderId="13" xfId="271" applyFont="1" applyBorder="1" applyAlignment="1">
      <alignment horizontal="center" wrapText="1"/>
    </xf>
    <xf numFmtId="0" fontId="52" fillId="2" borderId="11" xfId="271" applyFont="1" applyFill="1" applyBorder="1" applyAlignment="1">
      <alignment horizontal="left" vertical="top" wrapText="1"/>
    </xf>
    <xf numFmtId="0" fontId="29" fillId="0" borderId="11" xfId="271" applyBorder="1" applyAlignment="1" applyProtection="1">
      <alignment vertical="top" wrapText="1"/>
      <protection locked="0"/>
    </xf>
    <xf numFmtId="168" fontId="29" fillId="5" borderId="11" xfId="271" applyNumberFormat="1" applyFill="1" applyBorder="1" applyAlignment="1" applyProtection="1">
      <alignment vertical="top" wrapText="1"/>
      <protection locked="0"/>
    </xf>
    <xf numFmtId="0" fontId="29" fillId="5" borderId="3" xfId="271" applyFill="1" applyBorder="1" applyAlignment="1" applyProtection="1">
      <alignment vertical="top" wrapText="1"/>
      <protection locked="0"/>
    </xf>
    <xf numFmtId="0" fontId="29" fillId="5" borderId="11" xfId="271" applyFill="1" applyBorder="1" applyAlignment="1" applyProtection="1">
      <alignment vertical="top" wrapText="1"/>
      <protection locked="0"/>
    </xf>
    <xf numFmtId="0" fontId="29" fillId="0" borderId="11" xfId="271" applyBorder="1" applyAlignment="1">
      <alignment horizontal="right" vertical="top" wrapText="1"/>
    </xf>
    <xf numFmtId="168" fontId="29" fillId="0" borderId="11" xfId="271" applyNumberFormat="1" applyBorder="1" applyAlignment="1">
      <alignment vertical="top" wrapText="1"/>
    </xf>
    <xf numFmtId="0" fontId="27" fillId="0" borderId="11" xfId="271" applyFont="1" applyBorder="1" applyAlignment="1">
      <alignment horizontal="right" vertical="top" wrapText="1"/>
    </xf>
    <xf numFmtId="0" fontId="29" fillId="5" borderId="11" xfId="271" applyFill="1" applyBorder="1" applyAlignment="1" applyProtection="1">
      <alignment horizontal="right" vertical="top" wrapText="1"/>
      <protection locked="0"/>
    </xf>
    <xf numFmtId="168" fontId="27" fillId="0" borderId="11" xfId="271" applyNumberFormat="1" applyFont="1" applyBorder="1" applyAlignment="1">
      <alignment vertical="top" wrapText="1"/>
    </xf>
    <xf numFmtId="0" fontId="37" fillId="0" borderId="11" xfId="271" applyFont="1" applyBorder="1" applyAlignment="1">
      <alignment horizontal="right" vertical="top" wrapText="1"/>
    </xf>
    <xf numFmtId="0" fontId="34" fillId="0" borderId="0" xfId="271" applyFont="1" applyAlignment="1" applyProtection="1">
      <alignment vertical="top" wrapText="1"/>
      <protection locked="0"/>
    </xf>
    <xf numFmtId="0" fontId="29" fillId="0" borderId="5" xfId="271" applyBorder="1" applyAlignment="1" applyProtection="1">
      <alignment vertical="top" wrapText="1"/>
      <protection locked="0"/>
    </xf>
    <xf numFmtId="0" fontId="27" fillId="0" borderId="3" xfId="271" applyFont="1" applyBorder="1" applyAlignment="1">
      <alignment horizontal="left" vertical="top"/>
    </xf>
    <xf numFmtId="0" fontId="29" fillId="0" borderId="4" xfId="271" applyBorder="1" applyAlignment="1" applyProtection="1">
      <alignment horizontal="left" vertical="top"/>
      <protection locked="0"/>
    </xf>
    <xf numFmtId="0" fontId="29" fillId="0" borderId="4" xfId="271" applyBorder="1" applyAlignment="1" applyProtection="1">
      <alignment vertical="top" wrapText="1"/>
      <protection locked="0"/>
    </xf>
    <xf numFmtId="0" fontId="34" fillId="0" borderId="0" xfId="271" applyFont="1" applyAlignment="1">
      <alignment vertical="top" wrapText="1"/>
    </xf>
    <xf numFmtId="0" fontId="29" fillId="0" borderId="4" xfId="271" applyBorder="1" applyAlignment="1">
      <alignment vertical="top" wrapText="1"/>
    </xf>
    <xf numFmtId="0" fontId="52" fillId="2" borderId="11" xfId="271" applyFont="1" applyFill="1" applyBorder="1" applyAlignment="1" applyProtection="1">
      <alignment horizontal="left" vertical="top" wrapText="1"/>
      <protection locked="0"/>
    </xf>
    <xf numFmtId="0" fontId="56" fillId="0" borderId="11" xfId="0" applyFont="1" applyBorder="1" applyAlignment="1">
      <alignment horizontal="right" vertical="top" wrapText="1"/>
    </xf>
    <xf numFmtId="0" fontId="29" fillId="8" borderId="0" xfId="542" quotePrefix="1" applyFont="1" applyFill="1" applyAlignment="1">
      <alignment horizontal="left"/>
    </xf>
    <xf numFmtId="0" fontId="29" fillId="8" borderId="0" xfId="542" applyFont="1" applyFill="1"/>
    <xf numFmtId="0" fontId="37" fillId="8" borderId="0" xfId="542" applyFont="1" applyFill="1"/>
    <xf numFmtId="0" fontId="56" fillId="0" borderId="11" xfId="271" applyFont="1" applyBorder="1" applyAlignment="1">
      <alignment horizontal="right" vertical="top"/>
    </xf>
    <xf numFmtId="0" fontId="56" fillId="0" borderId="11" xfId="271" applyFont="1" applyBorder="1" applyAlignment="1">
      <alignment horizontal="right" vertical="top" wrapText="1"/>
    </xf>
    <xf numFmtId="0" fontId="29" fillId="0" borderId="0" xfId="271" applyAlignment="1">
      <alignment horizontal="left" vertical="top"/>
    </xf>
    <xf numFmtId="0" fontId="27" fillId="0" borderId="0" xfId="271" applyFont="1" applyAlignment="1">
      <alignment horizontal="right"/>
    </xf>
    <xf numFmtId="0" fontId="28" fillId="0" borderId="0" xfId="271" applyFont="1" applyAlignment="1">
      <alignment horizontal="center"/>
    </xf>
    <xf numFmtId="5" fontId="29" fillId="0" borderId="0" xfId="542" applyNumberFormat="1" applyFont="1"/>
    <xf numFmtId="1" fontId="29" fillId="0" borderId="15" xfId="271" applyNumberFormat="1" applyBorder="1"/>
    <xf numFmtId="1" fontId="29" fillId="0" borderId="14" xfId="271" applyNumberFormat="1" applyBorder="1"/>
    <xf numFmtId="0" fontId="28" fillId="0" borderId="6" xfId="271" applyFont="1" applyBorder="1" applyAlignment="1">
      <alignment horizontal="left"/>
    </xf>
    <xf numFmtId="0" fontId="28" fillId="0" borderId="6" xfId="271" applyFont="1" applyBorder="1" applyAlignment="1">
      <alignment horizontal="right"/>
    </xf>
    <xf numFmtId="165" fontId="29" fillId="0" borderId="0" xfId="271" applyNumberFormat="1"/>
    <xf numFmtId="170" fontId="29" fillId="0" borderId="14" xfId="271" applyNumberFormat="1" applyBorder="1"/>
    <xf numFmtId="1" fontId="27" fillId="0" borderId="11" xfId="271" applyNumberFormat="1" applyFont="1" applyBorder="1"/>
    <xf numFmtId="165" fontId="27" fillId="0" borderId="11" xfId="271" applyNumberFormat="1" applyFont="1" applyBorder="1"/>
    <xf numFmtId="3" fontId="59" fillId="0" borderId="11" xfId="0" applyNumberFormat="1" applyFont="1" applyBorder="1" applyAlignment="1">
      <alignment vertical="top" wrapText="1"/>
    </xf>
    <xf numFmtId="166" fontId="29" fillId="0" borderId="0" xfId="0" applyNumberFormat="1" applyFont="1"/>
    <xf numFmtId="0" fontId="0" fillId="0" borderId="0" xfId="0" applyProtection="1">
      <protection locked="0"/>
    </xf>
    <xf numFmtId="0" fontId="25" fillId="0" borderId="0" xfId="0" applyFont="1" applyProtection="1">
      <protection locked="0"/>
    </xf>
    <xf numFmtId="0" fontId="25" fillId="0" borderId="0" xfId="271" applyFont="1" applyProtection="1">
      <protection locked="0"/>
    </xf>
    <xf numFmtId="168" fontId="25" fillId="0" borderId="0" xfId="271" applyNumberFormat="1" applyFont="1" applyProtection="1">
      <protection locked="0"/>
    </xf>
    <xf numFmtId="0" fontId="33" fillId="0" borderId="1" xfId="0" applyFont="1" applyBorder="1"/>
    <xf numFmtId="0" fontId="20" fillId="0" borderId="2" xfId="0" applyFont="1" applyBorder="1" applyAlignment="1">
      <alignment horizontal="left"/>
    </xf>
    <xf numFmtId="0" fontId="20" fillId="0" borderId="2" xfId="0" applyFont="1" applyBorder="1"/>
    <xf numFmtId="0" fontId="33" fillId="0" borderId="8" xfId="0" applyFont="1" applyBorder="1"/>
    <xf numFmtId="0" fontId="33" fillId="0" borderId="9" xfId="0" applyFont="1" applyBorder="1"/>
    <xf numFmtId="0" fontId="27" fillId="0" borderId="0" xfId="0" applyFont="1" applyAlignment="1">
      <alignment horizontal="left" vertical="top"/>
    </xf>
    <xf numFmtId="0" fontId="77" fillId="0" borderId="0" xfId="0" applyFont="1" applyAlignment="1">
      <alignment vertical="center" wrapText="1"/>
    </xf>
    <xf numFmtId="0" fontId="77" fillId="0" borderId="0" xfId="0" applyFont="1" applyAlignment="1">
      <alignment vertical="center"/>
    </xf>
    <xf numFmtId="0" fontId="77" fillId="0" borderId="0" xfId="0" applyFont="1" applyAlignment="1">
      <alignment horizontal="left" vertical="center" indent="1"/>
    </xf>
    <xf numFmtId="172" fontId="29" fillId="5" borderId="0" xfId="0" applyNumberFormat="1" applyFont="1" applyFill="1" applyAlignment="1">
      <alignment horizontal="center"/>
    </xf>
    <xf numFmtId="0" fontId="78" fillId="0" borderId="0" xfId="0" applyFont="1" applyAlignment="1">
      <alignment horizontal="left" vertical="center"/>
    </xf>
    <xf numFmtId="0" fontId="39" fillId="0" borderId="2" xfId="543" applyFont="1" applyBorder="1" applyAlignment="1">
      <alignment horizontal="center" vertical="top" wrapText="1"/>
    </xf>
    <xf numFmtId="49" fontId="50" fillId="0" borderId="0" xfId="0" applyNumberFormat="1" applyFont="1" applyAlignment="1">
      <alignment horizontal="center"/>
    </xf>
    <xf numFmtId="0" fontId="56" fillId="0" borderId="0" xfId="0" applyFont="1"/>
    <xf numFmtId="5" fontId="82" fillId="0" borderId="11" xfId="541" applyNumberFormat="1" applyFont="1" applyBorder="1" applyAlignment="1" applyProtection="1">
      <alignment horizontal="center"/>
    </xf>
    <xf numFmtId="5" fontId="82" fillId="42" borderId="11" xfId="541" applyNumberFormat="1" applyFont="1" applyFill="1" applyBorder="1" applyAlignment="1" applyProtection="1">
      <alignment horizontal="center"/>
    </xf>
    <xf numFmtId="5" fontId="82" fillId="2" borderId="11" xfId="541" applyNumberFormat="1" applyFont="1" applyFill="1" applyBorder="1" applyAlignment="1" applyProtection="1">
      <alignment horizontal="center"/>
    </xf>
    <xf numFmtId="0" fontId="56" fillId="0" borderId="0" xfId="0" applyFont="1" applyAlignment="1">
      <alignment vertical="top" wrapText="1"/>
    </xf>
    <xf numFmtId="0" fontId="56" fillId="0" borderId="0" xfId="0" applyFont="1" applyAlignment="1">
      <alignment vertical="top"/>
    </xf>
    <xf numFmtId="0" fontId="56" fillId="2" borderId="0" xfId="0" applyFont="1" applyFill="1" applyAlignment="1">
      <alignment vertical="top" wrapText="1"/>
    </xf>
    <xf numFmtId="0" fontId="84" fillId="0" borderId="13" xfId="0" applyFont="1" applyBorder="1" applyAlignment="1">
      <alignment vertical="top" wrapText="1"/>
    </xf>
    <xf numFmtId="0" fontId="34" fillId="0" borderId="0" xfId="0" applyFont="1" applyAlignment="1">
      <alignment vertical="top" wrapText="1"/>
    </xf>
    <xf numFmtId="0" fontId="84" fillId="2" borderId="13" xfId="0" applyFont="1" applyFill="1" applyBorder="1" applyAlignment="1">
      <alignment vertical="top" wrapText="1"/>
    </xf>
    <xf numFmtId="0" fontId="84" fillId="0" borderId="0" xfId="0" applyFont="1" applyAlignment="1">
      <alignment vertical="top" wrapText="1"/>
    </xf>
    <xf numFmtId="0" fontId="84" fillId="2" borderId="0" xfId="0" applyFont="1" applyFill="1" applyAlignment="1">
      <alignment vertical="top" wrapText="1"/>
    </xf>
    <xf numFmtId="0" fontId="56" fillId="0" borderId="0" xfId="0" applyFont="1" applyAlignment="1">
      <alignment horizontal="right" vertical="top" wrapText="1"/>
    </xf>
    <xf numFmtId="168" fontId="56" fillId="5" borderId="6" xfId="0" applyNumberFormat="1" applyFont="1" applyFill="1" applyBorder="1" applyAlignment="1" applyProtection="1">
      <alignment horizontal="right" vertical="top" wrapText="1"/>
      <protection locked="0"/>
    </xf>
    <xf numFmtId="168" fontId="56" fillId="0" borderId="6" xfId="0" applyNumberFormat="1" applyFont="1" applyBorder="1" applyAlignment="1">
      <alignment horizontal="right" vertical="top" wrapText="1"/>
    </xf>
    <xf numFmtId="0" fontId="27" fillId="0" borderId="0" xfId="0" applyFont="1" applyAlignment="1">
      <alignment horizontal="left" vertical="top" wrapText="1"/>
    </xf>
    <xf numFmtId="0" fontId="29" fillId="0" borderId="0" xfId="0" applyFont="1" applyAlignment="1">
      <alignment horizontal="right" vertical="top" wrapText="1"/>
    </xf>
    <xf numFmtId="10" fontId="29" fillId="5" borderId="6" xfId="0" applyNumberFormat="1" applyFont="1" applyFill="1" applyBorder="1" applyAlignment="1" applyProtection="1">
      <alignment horizontal="center" vertical="top" wrapText="1"/>
      <protection locked="0"/>
    </xf>
    <xf numFmtId="0" fontId="67" fillId="0" borderId="0" xfId="0" applyFont="1" applyAlignment="1">
      <alignment horizontal="left" vertical="center"/>
    </xf>
    <xf numFmtId="0" fontId="27" fillId="0" borderId="2" xfId="543" applyFont="1" applyBorder="1" applyAlignment="1">
      <alignment horizontal="center"/>
    </xf>
    <xf numFmtId="0" fontId="0" fillId="0" borderId="0" xfId="543" applyFont="1"/>
    <xf numFmtId="0" fontId="21" fillId="0" borderId="0" xfId="244" quotePrefix="1" applyAlignment="1" applyProtection="1">
      <alignment horizontal="left"/>
    </xf>
    <xf numFmtId="168" fontId="56"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108" fillId="0" borderId="0" xfId="0" applyFont="1" applyAlignment="1">
      <alignment horizontal="left" vertical="top"/>
    </xf>
    <xf numFmtId="0" fontId="109" fillId="0" borderId="0" xfId="0" applyFont="1" applyAlignment="1">
      <alignment horizontal="left" vertical="top"/>
    </xf>
    <xf numFmtId="0" fontId="77" fillId="0" borderId="0" xfId="0" applyFont="1"/>
    <xf numFmtId="0" fontId="27" fillId="8" borderId="11" xfId="542" applyFont="1" applyFill="1" applyBorder="1" applyAlignment="1">
      <alignment horizontal="left"/>
    </xf>
    <xf numFmtId="0" fontId="27" fillId="8" borderId="11" xfId="542" applyFont="1" applyFill="1" applyBorder="1" applyAlignment="1">
      <alignment horizontal="center"/>
    </xf>
    <xf numFmtId="0" fontId="66" fillId="8" borderId="11" xfId="542" applyFont="1" applyFill="1" applyBorder="1" applyAlignment="1">
      <alignment horizontal="left"/>
    </xf>
    <xf numFmtId="0" fontId="66" fillId="0" borderId="11" xfId="542" applyFont="1" applyBorder="1" applyAlignment="1">
      <alignment horizontal="left"/>
    </xf>
    <xf numFmtId="0" fontId="27" fillId="0" borderId="0" xfId="271" applyFont="1" applyAlignment="1" applyProtection="1">
      <alignment horizontal="center" wrapText="1"/>
      <protection locked="0"/>
    </xf>
    <xf numFmtId="0" fontId="29" fillId="0" borderId="0" xfId="271" applyAlignment="1" applyProtection="1">
      <alignment vertical="top" wrapText="1"/>
      <protection locked="0"/>
    </xf>
    <xf numFmtId="0" fontId="27" fillId="0" borderId="0" xfId="271" applyFont="1" applyAlignment="1" applyProtection="1">
      <alignment vertical="top" wrapText="1"/>
      <protection locked="0"/>
    </xf>
    <xf numFmtId="0" fontId="20" fillId="0" borderId="0" xfId="0" applyFont="1" applyAlignment="1">
      <alignment horizontal="center"/>
    </xf>
    <xf numFmtId="0" fontId="34" fillId="0" borderId="8" xfId="569" applyFont="1" applyBorder="1" applyAlignment="1">
      <alignment vertical="top" wrapText="1"/>
    </xf>
    <xf numFmtId="0" fontId="34" fillId="0" borderId="0" xfId="569" applyFont="1" applyAlignment="1">
      <alignment vertical="top" wrapText="1"/>
    </xf>
    <xf numFmtId="0" fontId="58" fillId="2" borderId="11" xfId="569" applyFont="1" applyFill="1" applyBorder="1" applyAlignment="1">
      <alignment horizontal="left" vertical="top" wrapText="1"/>
    </xf>
    <xf numFmtId="6" fontId="56" fillId="4" borderId="11" xfId="569" applyNumberFormat="1" applyFont="1" applyFill="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6" fontId="56" fillId="0" borderId="11" xfId="569" applyNumberFormat="1" applyFont="1" applyBorder="1" applyAlignment="1">
      <alignment vertical="top" wrapText="1"/>
    </xf>
    <xf numFmtId="6" fontId="56" fillId="5" borderId="11" xfId="569" applyNumberFormat="1" applyFont="1" applyFill="1" applyBorder="1" applyAlignment="1" applyProtection="1">
      <alignment vertical="top" wrapText="1"/>
      <protection locked="0"/>
    </xf>
    <xf numFmtId="6" fontId="56" fillId="6" borderId="11" xfId="569" applyNumberFormat="1" applyFont="1" applyFill="1" applyBorder="1" applyAlignment="1">
      <alignment horizontal="center" vertical="top" wrapText="1"/>
    </xf>
    <xf numFmtId="0" fontId="56" fillId="0" borderId="11" xfId="569" applyFont="1" applyBorder="1" applyAlignment="1">
      <alignment horizontal="right" vertical="top" wrapText="1"/>
    </xf>
    <xf numFmtId="0" fontId="57" fillId="0" borderId="11" xfId="569" applyFont="1" applyBorder="1" applyAlignment="1">
      <alignment horizontal="right" vertical="top" wrapText="1"/>
    </xf>
    <xf numFmtId="0" fontId="56" fillId="0" borderId="11" xfId="569" applyFont="1" applyBorder="1" applyAlignment="1">
      <alignment horizontal="right" vertical="top"/>
    </xf>
    <xf numFmtId="6" fontId="57" fillId="0" borderId="11" xfId="569" applyNumberFormat="1" applyFont="1" applyBorder="1" applyAlignment="1">
      <alignment vertical="top" wrapText="1"/>
    </xf>
    <xf numFmtId="0" fontId="57" fillId="0" borderId="8" xfId="569" applyFont="1" applyBorder="1" applyAlignment="1">
      <alignment vertical="top" wrapText="1"/>
    </xf>
    <xf numFmtId="0" fontId="57" fillId="0" borderId="0" xfId="569" applyFont="1" applyAlignment="1">
      <alignment vertical="top" wrapText="1"/>
    </xf>
    <xf numFmtId="0" fontId="23" fillId="0" borderId="11" xfId="569" applyFont="1" applyBorder="1" applyAlignment="1">
      <alignment horizontal="right" vertical="top" wrapText="1"/>
    </xf>
    <xf numFmtId="0" fontId="57" fillId="0" borderId="0" xfId="569" applyFont="1" applyAlignment="1">
      <alignment horizontal="left" vertical="top"/>
    </xf>
    <xf numFmtId="6" fontId="56" fillId="0" borderId="0" xfId="569" applyNumberFormat="1" applyFont="1" applyAlignment="1">
      <alignment horizontal="left" vertical="top"/>
    </xf>
    <xf numFmtId="0" fontId="109" fillId="0" borderId="0" xfId="569" applyFont="1" applyAlignment="1">
      <alignment horizontal="left" vertical="top"/>
    </xf>
    <xf numFmtId="6" fontId="56" fillId="0" borderId="0" xfId="569" applyNumberFormat="1" applyFont="1" applyAlignment="1">
      <alignment vertical="top" wrapText="1"/>
    </xf>
    <xf numFmtId="0" fontId="56" fillId="0" borderId="0" xfId="569" applyFont="1" applyAlignment="1">
      <alignment horizontal="left" vertical="top"/>
    </xf>
    <xf numFmtId="0" fontId="56" fillId="0" borderId="12" xfId="569" applyFont="1" applyBorder="1" applyAlignment="1">
      <alignment vertical="top" wrapText="1"/>
    </xf>
    <xf numFmtId="0" fontId="27" fillId="0" borderId="0" xfId="569" applyFont="1" applyAlignment="1">
      <alignment horizontal="left" vertical="top"/>
    </xf>
    <xf numFmtId="0" fontId="112" fillId="0" borderId="0" xfId="569" applyFont="1" applyAlignment="1">
      <alignment horizontal="left" vertical="top"/>
    </xf>
    <xf numFmtId="0" fontId="67" fillId="0" borderId="0" xfId="569" applyFont="1" applyAlignment="1">
      <alignment horizontal="left" vertical="center"/>
    </xf>
    <xf numFmtId="0" fontId="35" fillId="0" borderId="0" xfId="569" applyFont="1" applyAlignment="1">
      <alignment vertical="top" wrapText="1"/>
    </xf>
    <xf numFmtId="0" fontId="35" fillId="0" borderId="12" xfId="569" applyFont="1" applyBorder="1" applyAlignment="1">
      <alignment vertical="top" wrapText="1"/>
    </xf>
    <xf numFmtId="0" fontId="35" fillId="0" borderId="8" xfId="569" applyFont="1" applyBorder="1" applyAlignment="1">
      <alignment vertical="top" wrapText="1"/>
    </xf>
    <xf numFmtId="0" fontId="56" fillId="0" borderId="0" xfId="569" applyFont="1" applyAlignment="1">
      <alignment vertical="top"/>
    </xf>
    <xf numFmtId="168" fontId="56" fillId="0" borderId="0" xfId="569" applyNumberFormat="1" applyFont="1" applyAlignment="1" applyProtection="1">
      <alignment horizontal="right" vertical="top" wrapText="1"/>
      <protection locked="0"/>
    </xf>
    <xf numFmtId="0" fontId="20" fillId="0" borderId="0" xfId="569" applyAlignment="1">
      <alignment vertical="top" wrapText="1"/>
    </xf>
    <xf numFmtId="0" fontId="20" fillId="0" borderId="0" xfId="569" applyAlignment="1">
      <alignment vertical="top"/>
    </xf>
    <xf numFmtId="0" fontId="56" fillId="0" borderId="0" xfId="569" applyFont="1" applyAlignment="1">
      <alignment horizontal="right" vertical="top" wrapText="1"/>
    </xf>
    <xf numFmtId="0" fontId="27" fillId="0" borderId="0" xfId="569" applyFont="1" applyAlignment="1">
      <alignment horizontal="left" vertical="top" wrapText="1"/>
    </xf>
    <xf numFmtId="168" fontId="56" fillId="0" borderId="0" xfId="569" applyNumberFormat="1" applyFont="1" applyAlignment="1">
      <alignment horizontal="right" vertical="top" wrapText="1"/>
    </xf>
    <xf numFmtId="0" fontId="20" fillId="0" borderId="0" xfId="569" applyAlignment="1" applyProtection="1">
      <alignment horizontal="left" vertical="top" wrapText="1"/>
      <protection locked="0"/>
    </xf>
    <xf numFmtId="0" fontId="20" fillId="0" borderId="0" xfId="569" applyAlignment="1">
      <alignment horizontal="right" vertical="top" wrapText="1"/>
    </xf>
    <xf numFmtId="0" fontId="20" fillId="0" borderId="0" xfId="569" applyAlignment="1">
      <alignment horizontal="left" vertical="top"/>
    </xf>
    <xf numFmtId="0" fontId="84" fillId="0" borderId="0" xfId="569" applyFont="1" applyAlignment="1">
      <alignment vertical="top" wrapText="1"/>
    </xf>
    <xf numFmtId="0" fontId="84" fillId="0" borderId="12" xfId="569" applyFont="1" applyBorder="1" applyAlignment="1">
      <alignment vertical="top" wrapText="1"/>
    </xf>
    <xf numFmtId="0" fontId="84" fillId="0" borderId="8" xfId="569" applyFont="1" applyBorder="1" applyAlignment="1">
      <alignment vertical="top" wrapText="1"/>
    </xf>
    <xf numFmtId="0" fontId="34" fillId="0" borderId="0" xfId="569" applyFont="1" applyAlignment="1">
      <alignment horizontal="right" vertical="top" wrapText="1"/>
    </xf>
    <xf numFmtId="0" fontId="84" fillId="0" borderId="0" xfId="569" applyFont="1" applyAlignment="1">
      <alignment horizontal="right" vertical="top" wrapText="1"/>
    </xf>
    <xf numFmtId="0" fontId="57" fillId="0" borderId="3" xfId="569" applyFont="1" applyBorder="1" applyAlignment="1">
      <alignment horizontal="left"/>
    </xf>
    <xf numFmtId="0" fontId="57" fillId="0" borderId="13" xfId="569" applyFont="1" applyBorder="1" applyAlignment="1">
      <alignment horizontal="center" wrapText="1"/>
    </xf>
    <xf numFmtId="0" fontId="57" fillId="0" borderId="8" xfId="569" applyFont="1" applyBorder="1" applyAlignment="1">
      <alignment horizontal="center" wrapText="1"/>
    </xf>
    <xf numFmtId="0" fontId="57" fillId="0" borderId="0" xfId="569" applyFont="1" applyAlignment="1">
      <alignment horizontal="center" wrapText="1"/>
    </xf>
    <xf numFmtId="0" fontId="20" fillId="0" borderId="0" xfId="569"/>
    <xf numFmtId="0" fontId="26" fillId="0" borderId="0" xfId="569" applyFont="1" applyAlignment="1">
      <alignment horizontal="center" vertical="center"/>
    </xf>
    <xf numFmtId="0" fontId="27" fillId="0" borderId="0" xfId="569" applyFont="1"/>
    <xf numFmtId="0" fontId="20" fillId="0" borderId="1" xfId="569" applyBorder="1"/>
    <xf numFmtId="0" fontId="20" fillId="0" borderId="2" xfId="569" applyBorder="1"/>
    <xf numFmtId="0" fontId="20" fillId="0" borderId="8" xfId="569" applyBorder="1"/>
    <xf numFmtId="0" fontId="20" fillId="0" borderId="9" xfId="569" applyBorder="1"/>
    <xf numFmtId="0" fontId="20" fillId="0" borderId="6" xfId="569" applyBorder="1"/>
    <xf numFmtId="0" fontId="28" fillId="0" borderId="0" xfId="569" applyFont="1"/>
    <xf numFmtId="0" fontId="20" fillId="0" borderId="7" xfId="569" applyBorder="1"/>
    <xf numFmtId="0" fontId="20" fillId="0" borderId="12" xfId="569" applyBorder="1"/>
    <xf numFmtId="0" fontId="20" fillId="0" borderId="10" xfId="569" applyBorder="1"/>
    <xf numFmtId="0" fontId="28" fillId="0" borderId="0" xfId="569" applyFont="1" applyAlignment="1">
      <alignment vertical="top" wrapText="1"/>
    </xf>
    <xf numFmtId="0" fontId="20" fillId="0" borderId="0" xfId="569" applyAlignment="1">
      <alignment horizontal="right"/>
    </xf>
    <xf numFmtId="0" fontId="20" fillId="0" borderId="0" xfId="569" applyAlignment="1">
      <alignment wrapText="1"/>
    </xf>
    <xf numFmtId="0" fontId="20" fillId="0" borderId="0" xfId="569" applyAlignment="1">
      <alignment vertical="center"/>
    </xf>
    <xf numFmtId="0" fontId="44" fillId="0" borderId="0" xfId="569" applyFont="1" applyAlignment="1">
      <alignment vertical="center" wrapText="1"/>
    </xf>
    <xf numFmtId="0" fontId="38" fillId="0" borderId="0" xfId="569" applyFont="1" applyAlignment="1">
      <alignment vertical="top" wrapText="1"/>
    </xf>
    <xf numFmtId="0" fontId="27" fillId="0" borderId="0" xfId="569" applyFont="1" applyAlignment="1">
      <alignment vertical="top" wrapText="1"/>
    </xf>
    <xf numFmtId="0" fontId="28" fillId="0" borderId="0" xfId="569" applyFont="1" applyAlignment="1">
      <alignment horizontal="left" vertical="top" wrapText="1"/>
    </xf>
    <xf numFmtId="164" fontId="20" fillId="0" borderId="0" xfId="569" applyNumberFormat="1" applyAlignment="1">
      <alignment horizontal="right"/>
    </xf>
    <xf numFmtId="168" fontId="20" fillId="0" borderId="0" xfId="569" applyNumberFormat="1" applyAlignment="1">
      <alignment horizontal="right"/>
    </xf>
    <xf numFmtId="0" fontId="110" fillId="0" borderId="0" xfId="569" applyFont="1" applyAlignment="1">
      <alignment horizontal="left" vertical="top" wrapText="1"/>
    </xf>
    <xf numFmtId="168" fontId="20" fillId="0" borderId="0" xfId="569" applyNumberFormat="1" applyAlignment="1">
      <alignment wrapText="1"/>
    </xf>
    <xf numFmtId="0" fontId="25" fillId="0" borderId="11" xfId="253" applyFont="1" applyBorder="1" applyAlignment="1">
      <alignment horizontal="center" wrapText="1"/>
    </xf>
    <xf numFmtId="0" fontId="25" fillId="0" borderId="0" xfId="253" applyFont="1" applyAlignment="1">
      <alignment horizontal="center" wrapText="1"/>
    </xf>
    <xf numFmtId="3" fontId="25" fillId="0" borderId="11" xfId="271" applyNumberFormat="1" applyFont="1" applyBorder="1"/>
    <xf numFmtId="3" fontId="25" fillId="0" borderId="0" xfId="271" applyNumberFormat="1" applyFont="1"/>
    <xf numFmtId="0" fontId="68" fillId="0" borderId="0" xfId="271" applyFont="1" applyAlignment="1">
      <alignment horizontal="left"/>
    </xf>
    <xf numFmtId="0" fontId="68" fillId="0" borderId="0" xfId="271" applyFont="1" applyAlignment="1">
      <alignment horizontal="right"/>
    </xf>
    <xf numFmtId="168" fontId="25" fillId="0" borderId="11" xfId="271" applyNumberFormat="1" applyFont="1" applyBorder="1"/>
    <xf numFmtId="168" fontId="25" fillId="0" borderId="0" xfId="271" applyNumberFormat="1" applyFont="1"/>
    <xf numFmtId="0" fontId="56" fillId="0" borderId="0" xfId="569" applyFont="1" applyAlignment="1">
      <alignment horizontal="left"/>
    </xf>
    <xf numFmtId="0" fontId="20" fillId="0" borderId="3" xfId="569" applyBorder="1"/>
    <xf numFmtId="0" fontId="111" fillId="0" borderId="0" xfId="1834"/>
    <xf numFmtId="0" fontId="0" fillId="0" borderId="0" xfId="0" applyAlignment="1">
      <alignment horizontal="left" vertical="top"/>
    </xf>
    <xf numFmtId="0" fontId="110" fillId="0" borderId="0" xfId="0" applyFont="1" applyAlignment="1">
      <alignment vertical="top" wrapText="1"/>
    </xf>
    <xf numFmtId="0" fontId="56" fillId="0" borderId="0" xfId="271" applyFont="1" applyAlignment="1">
      <alignment vertical="top" wrapText="1"/>
    </xf>
    <xf numFmtId="4" fontId="20" fillId="0" borderId="0" xfId="1192" applyNumberFormat="1" applyAlignment="1">
      <alignment horizontal="left" vertical="top" wrapText="1"/>
    </xf>
    <xf numFmtId="0" fontId="20" fillId="0" borderId="0" xfId="0" applyFont="1" applyAlignment="1">
      <alignment horizontal="left" vertical="top" wrapText="1"/>
    </xf>
    <xf numFmtId="0" fontId="27" fillId="0" borderId="12" xfId="543" applyFont="1" applyBorder="1" applyAlignment="1">
      <alignment horizontal="right"/>
    </xf>
    <xf numFmtId="0" fontId="39" fillId="0" borderId="0" xfId="543" applyFont="1" applyAlignment="1">
      <alignment horizontal="center"/>
    </xf>
    <xf numFmtId="4" fontId="20" fillId="0" borderId="0" xfId="569" applyNumberFormat="1" applyAlignment="1">
      <alignment horizontal="left"/>
    </xf>
    <xf numFmtId="0" fontId="20" fillId="0" borderId="0" xfId="569" applyAlignment="1">
      <alignment horizontal="left" vertical="top" wrapText="1"/>
    </xf>
    <xf numFmtId="0" fontId="20" fillId="0" borderId="0" xfId="569" applyAlignment="1">
      <alignment horizontal="left"/>
    </xf>
    <xf numFmtId="0" fontId="20" fillId="0" borderId="0" xfId="1192" applyAlignment="1">
      <alignment horizontal="left"/>
    </xf>
    <xf numFmtId="0" fontId="27" fillId="0" borderId="0" xfId="569" applyFont="1" applyAlignment="1">
      <alignment horizontal="left"/>
    </xf>
    <xf numFmtId="0" fontId="49" fillId="0" borderId="0" xfId="1192" applyFont="1"/>
    <xf numFmtId="0" fontId="56" fillId="0" borderId="11" xfId="0" applyFont="1" applyBorder="1" applyAlignment="1">
      <alignment horizontal="right" vertical="center"/>
    </xf>
    <xf numFmtId="0" fontId="20" fillId="0" borderId="0" xfId="1192" applyAlignment="1">
      <alignment horizontal="left" vertical="top" wrapText="1"/>
    </xf>
    <xf numFmtId="0" fontId="49" fillId="0" borderId="0" xfId="0" applyFont="1" applyAlignment="1">
      <alignment vertical="top" wrapText="1"/>
    </xf>
    <xf numFmtId="0" fontId="49" fillId="0" borderId="0" xfId="0" applyFont="1" applyAlignment="1">
      <alignment horizontal="left" vertical="top" wrapText="1"/>
    </xf>
    <xf numFmtId="6" fontId="57" fillId="0" borderId="0" xfId="569" applyNumberFormat="1" applyFont="1" applyAlignment="1">
      <alignment horizontal="right" vertical="top"/>
    </xf>
    <xf numFmtId="0" fontId="20" fillId="0" borderId="0" xfId="0" applyFont="1" applyAlignment="1">
      <alignment vertical="top" wrapText="1"/>
    </xf>
    <xf numFmtId="168" fontId="29" fillId="0" borderId="0" xfId="0" applyNumberFormat="1" applyFont="1" applyAlignment="1">
      <alignment horizontal="right"/>
    </xf>
    <xf numFmtId="168" fontId="29" fillId="0" borderId="28" xfId="540" applyNumberFormat="1" applyBorder="1" applyAlignment="1" applyProtection="1">
      <alignment horizontal="center"/>
    </xf>
    <xf numFmtId="168" fontId="29" fillId="0" borderId="29" xfId="540" applyNumberFormat="1" applyBorder="1" applyAlignment="1" applyProtection="1">
      <alignment horizontal="center"/>
    </xf>
    <xf numFmtId="168" fontId="29" fillId="0" borderId="30" xfId="540" applyNumberFormat="1" applyBorder="1" applyAlignment="1" applyProtection="1">
      <alignment horizontal="center"/>
    </xf>
    <xf numFmtId="168" fontId="29" fillId="0" borderId="31" xfId="540" applyNumberFormat="1" applyBorder="1" applyAlignment="1" applyProtection="1">
      <alignment horizontal="center"/>
    </xf>
    <xf numFmtId="168" fontId="29" fillId="0" borderId="32" xfId="540" applyNumberFormat="1" applyBorder="1" applyAlignment="1" applyProtection="1">
      <alignment horizontal="center"/>
    </xf>
    <xf numFmtId="168" fontId="29" fillId="0" borderId="33" xfId="540" applyNumberFormat="1" applyBorder="1" applyAlignment="1" applyProtection="1">
      <alignment horizontal="center"/>
    </xf>
    <xf numFmtId="168" fontId="29" fillId="0" borderId="34" xfId="540" applyNumberFormat="1" applyBorder="1" applyAlignment="1" applyProtection="1">
      <alignment horizontal="center"/>
    </xf>
    <xf numFmtId="168" fontId="29" fillId="0" borderId="35" xfId="540" applyNumberFormat="1" applyBorder="1" applyAlignment="1" applyProtection="1">
      <alignment horizontal="center"/>
    </xf>
    <xf numFmtId="168" fontId="29" fillId="0" borderId="36" xfId="540" applyNumberFormat="1" applyBorder="1" applyAlignment="1" applyProtection="1">
      <alignment horizontal="center"/>
    </xf>
    <xf numFmtId="168" fontId="29" fillId="0" borderId="37" xfId="540" applyNumberFormat="1" applyBorder="1" applyAlignment="1" applyProtection="1">
      <alignment horizontal="center"/>
    </xf>
    <xf numFmtId="168" fontId="29" fillId="0" borderId="38" xfId="540" applyNumberFormat="1" applyBorder="1" applyAlignment="1" applyProtection="1">
      <alignment horizontal="center"/>
    </xf>
    <xf numFmtId="168" fontId="29" fillId="0" borderId="39" xfId="540" applyNumberFormat="1" applyBorder="1" applyAlignment="1" applyProtection="1">
      <alignment horizontal="center"/>
    </xf>
    <xf numFmtId="168" fontId="29" fillId="0" borderId="40" xfId="540" applyNumberFormat="1" applyBorder="1" applyAlignment="1" applyProtection="1">
      <alignment horizontal="center"/>
    </xf>
    <xf numFmtId="168" fontId="29" fillId="0" borderId="0" xfId="540" applyNumberFormat="1" applyAlignment="1" applyProtection="1">
      <alignment horizontal="center"/>
    </xf>
    <xf numFmtId="168" fontId="29" fillId="0" borderId="14" xfId="540" applyNumberFormat="1" applyBorder="1" applyAlignment="1" applyProtection="1">
      <alignment horizontal="center"/>
    </xf>
    <xf numFmtId="168" fontId="29" fillId="0" borderId="41" xfId="540" applyNumberFormat="1" applyBorder="1" applyAlignment="1" applyProtection="1">
      <alignment horizontal="center"/>
    </xf>
    <xf numFmtId="168" fontId="29" fillId="0" borderId="42" xfId="540" applyNumberFormat="1" applyBorder="1" applyAlignment="1" applyProtection="1">
      <alignment horizontal="center"/>
    </xf>
    <xf numFmtId="168" fontId="29" fillId="0" borderId="43" xfId="540" applyNumberFormat="1" applyBorder="1" applyAlignment="1" applyProtection="1">
      <alignment horizontal="center"/>
    </xf>
    <xf numFmtId="168" fontId="29" fillId="0" borderId="44" xfId="540" applyNumberFormat="1" applyBorder="1" applyAlignment="1" applyProtection="1">
      <alignment horizontal="center"/>
    </xf>
    <xf numFmtId="0" fontId="20" fillId="0" borderId="0" xfId="1192"/>
    <xf numFmtId="0" fontId="20" fillId="0" borderId="0" xfId="0" applyFont="1" applyAlignment="1">
      <alignment wrapText="1"/>
    </xf>
    <xf numFmtId="0" fontId="49" fillId="0" borderId="0" xfId="0" applyFont="1" applyAlignment="1">
      <alignment horizontal="left" vertical="top"/>
    </xf>
    <xf numFmtId="0" fontId="49" fillId="0" borderId="0" xfId="0" applyFont="1" applyAlignment="1">
      <alignment vertical="top"/>
    </xf>
    <xf numFmtId="0" fontId="20" fillId="0" borderId="0" xfId="569" applyAlignment="1">
      <alignment horizontal="center"/>
    </xf>
    <xf numFmtId="0" fontId="38" fillId="0" borderId="0" xfId="569" applyFont="1" applyAlignment="1">
      <alignment horizontal="left"/>
    </xf>
    <xf numFmtId="0" fontId="38" fillId="0" borderId="0" xfId="569" applyFont="1" applyAlignment="1">
      <alignment horizontal="center"/>
    </xf>
    <xf numFmtId="49" fontId="27" fillId="0" borderId="0" xfId="569" applyNumberFormat="1" applyFont="1" applyAlignment="1">
      <alignment horizontal="center"/>
    </xf>
    <xf numFmtId="0" fontId="54" fillId="0" borderId="0" xfId="569" applyFont="1" applyAlignment="1">
      <alignment horizontal="center"/>
    </xf>
    <xf numFmtId="0" fontId="20" fillId="5" borderId="6" xfId="569" applyFill="1" applyBorder="1" applyProtection="1">
      <protection locked="0"/>
    </xf>
    <xf numFmtId="0" fontId="21" fillId="0" borderId="0" xfId="244" applyAlignment="1" applyProtection="1">
      <alignment horizontal="center"/>
    </xf>
    <xf numFmtId="49" fontId="20" fillId="0" borderId="0" xfId="569" applyNumberFormat="1" applyAlignment="1">
      <alignment horizontal="center"/>
    </xf>
    <xf numFmtId="0" fontId="20" fillId="0" borderId="0" xfId="569" applyAlignment="1">
      <alignment horizontal="center" vertical="center"/>
    </xf>
    <xf numFmtId="0" fontId="20" fillId="0" borderId="0" xfId="1192" applyAlignment="1">
      <alignment horizontal="center"/>
    </xf>
    <xf numFmtId="0" fontId="27" fillId="0" borderId="0" xfId="569" applyFont="1" applyAlignment="1">
      <alignment horizontal="center"/>
    </xf>
    <xf numFmtId="0" fontId="20" fillId="0" borderId="0" xfId="569" applyAlignment="1">
      <alignment horizontal="left" indent="4"/>
    </xf>
    <xf numFmtId="0" fontId="20" fillId="0" borderId="0" xfId="569" quotePrefix="1" applyAlignment="1">
      <alignment horizontal="left"/>
    </xf>
    <xf numFmtId="0" fontId="38" fillId="0" borderId="0" xfId="569" applyFont="1"/>
    <xf numFmtId="0" fontId="20" fillId="0" borderId="0" xfId="1192" applyAlignment="1" applyProtection="1">
      <alignment horizontal="left"/>
      <protection locked="0"/>
    </xf>
    <xf numFmtId="0" fontId="20" fillId="0" borderId="0" xfId="569" applyAlignment="1" applyProtection="1">
      <alignment horizontal="left"/>
      <protection locked="0"/>
    </xf>
    <xf numFmtId="49" fontId="20" fillId="0" borderId="0" xfId="1192" applyNumberFormat="1" applyAlignment="1">
      <alignment horizontal="center"/>
    </xf>
    <xf numFmtId="0" fontId="54" fillId="0" borderId="0" xfId="1192" applyFont="1" applyAlignment="1">
      <alignment horizontal="center"/>
    </xf>
    <xf numFmtId="0" fontId="27" fillId="0" borderId="0" xfId="1192" applyFont="1" applyAlignment="1">
      <alignment horizontal="left"/>
    </xf>
    <xf numFmtId="4" fontId="20" fillId="0" borderId="0" xfId="1192" applyNumberFormat="1" applyAlignment="1">
      <alignment horizontal="left"/>
    </xf>
    <xf numFmtId="0" fontId="27" fillId="0" borderId="0" xfId="569" quotePrefix="1" applyFont="1" applyAlignment="1">
      <alignment horizontal="center"/>
    </xf>
    <xf numFmtId="49" fontId="20" fillId="0" borderId="0" xfId="569" applyNumberFormat="1"/>
    <xf numFmtId="0" fontId="52" fillId="0" borderId="0" xfId="569" applyFont="1" applyAlignment="1">
      <alignment horizontal="left"/>
    </xf>
    <xf numFmtId="4" fontId="54" fillId="0" borderId="0" xfId="569" applyNumberFormat="1" applyFont="1" applyAlignment="1">
      <alignment horizontal="center"/>
    </xf>
    <xf numFmtId="4" fontId="20" fillId="0" borderId="0" xfId="569" applyNumberFormat="1" applyAlignment="1">
      <alignment horizontal="center"/>
    </xf>
    <xf numFmtId="4" fontId="20" fillId="0" borderId="0" xfId="569" applyNumberFormat="1"/>
    <xf numFmtId="0" fontId="50" fillId="0" borderId="0" xfId="569" applyFont="1" applyAlignment="1">
      <alignment horizontal="left"/>
    </xf>
    <xf numFmtId="0" fontId="21" fillId="0" borderId="0" xfId="244" applyNumberFormat="1" applyFill="1" applyAlignment="1" applyProtection="1">
      <alignment horizontal="left"/>
      <protection locked="0"/>
    </xf>
    <xf numFmtId="0" fontId="56" fillId="0" borderId="11" xfId="0" applyFont="1" applyBorder="1" applyAlignment="1" applyProtection="1">
      <alignment horizontal="right" vertical="top" wrapText="1"/>
      <protection locked="0"/>
    </xf>
    <xf numFmtId="168" fontId="59" fillId="44" borderId="11" xfId="0" applyNumberFormat="1" applyFont="1" applyFill="1" applyBorder="1" applyAlignment="1">
      <alignment vertical="top" wrapText="1"/>
    </xf>
    <xf numFmtId="0" fontId="20" fillId="0" borderId="11" xfId="271" applyFont="1" applyBorder="1" applyAlignment="1">
      <alignment horizontal="right" vertical="top" wrapText="1"/>
    </xf>
    <xf numFmtId="0" fontId="28" fillId="0" borderId="0" xfId="569" applyFont="1" applyAlignment="1">
      <alignment horizontal="left"/>
    </xf>
    <xf numFmtId="0" fontId="108" fillId="0" borderId="0" xfId="0" applyFont="1"/>
    <xf numFmtId="0" fontId="119" fillId="0" borderId="0" xfId="0" applyFont="1" applyAlignment="1">
      <alignment horizontal="left" vertical="top"/>
    </xf>
    <xf numFmtId="0" fontId="120" fillId="0" borderId="0" xfId="0" applyFont="1" applyAlignment="1">
      <alignment horizontal="left" vertical="top"/>
    </xf>
    <xf numFmtId="168" fontId="28" fillId="0" borderId="0" xfId="0" applyNumberFormat="1" applyFont="1" applyAlignment="1">
      <alignment horizontal="left" vertical="top" wrapText="1"/>
    </xf>
    <xf numFmtId="168" fontId="56" fillId="5" borderId="11" xfId="0" applyNumberFormat="1" applyFont="1" applyFill="1" applyBorder="1" applyAlignment="1">
      <alignment vertical="top" wrapText="1"/>
    </xf>
    <xf numFmtId="0" fontId="20" fillId="0" borderId="0" xfId="271" applyFont="1" applyAlignment="1">
      <alignment horizontal="left" vertical="top"/>
    </xf>
    <xf numFmtId="0" fontId="56" fillId="0" borderId="0" xfId="569" applyFont="1"/>
    <xf numFmtId="0" fontId="20" fillId="0" borderId="0" xfId="0" applyFont="1" applyAlignment="1">
      <alignment horizontal="left" vertical="top"/>
    </xf>
    <xf numFmtId="4" fontId="20" fillId="0" borderId="0" xfId="1192" applyNumberFormat="1" applyAlignment="1">
      <alignment vertical="top" wrapText="1"/>
    </xf>
    <xf numFmtId="0" fontId="27" fillId="0" borderId="16" xfId="271" applyFont="1" applyBorder="1"/>
    <xf numFmtId="0" fontId="63" fillId="0" borderId="0" xfId="569" applyFont="1"/>
    <xf numFmtId="0" fontId="44" fillId="0" borderId="0" xfId="569" applyFont="1"/>
    <xf numFmtId="0" fontId="20" fillId="0" borderId="0" xfId="1192" applyAlignment="1">
      <alignment vertical="top" wrapText="1"/>
    </xf>
    <xf numFmtId="49" fontId="20" fillId="0" borderId="0" xfId="1192" applyNumberFormat="1" applyAlignment="1">
      <alignment vertical="top" wrapText="1"/>
    </xf>
    <xf numFmtId="0" fontId="58" fillId="0" borderId="9" xfId="543" applyFont="1" applyBorder="1" applyAlignment="1">
      <alignment vertical="top"/>
    </xf>
    <xf numFmtId="0" fontId="20" fillId="0" borderId="0" xfId="0" applyFont="1" applyAlignment="1">
      <alignment vertical="center"/>
    </xf>
    <xf numFmtId="0" fontId="121" fillId="0" borderId="0" xfId="0" applyFont="1"/>
    <xf numFmtId="3" fontId="108" fillId="0" borderId="0" xfId="0" applyNumberFormat="1" applyFont="1"/>
    <xf numFmtId="0" fontId="108" fillId="0" borderId="0" xfId="0" applyFont="1" applyAlignment="1">
      <alignment horizontal="left"/>
    </xf>
    <xf numFmtId="168" fontId="122" fillId="0" borderId="0" xfId="0" applyNumberFormat="1" applyFont="1" applyAlignment="1">
      <alignment horizontal="left" vertical="top"/>
    </xf>
    <xf numFmtId="0" fontId="108" fillId="0" borderId="0" xfId="0" applyFont="1" applyAlignment="1">
      <alignment horizontal="left" vertical="center"/>
    </xf>
    <xf numFmtId="0" fontId="124" fillId="0" borderId="0" xfId="0" applyFont="1"/>
    <xf numFmtId="172" fontId="20" fillId="0" borderId="8" xfId="543" applyNumberFormat="1" applyBorder="1"/>
    <xf numFmtId="0" fontId="20" fillId="0" borderId="8" xfId="4495" applyFont="1" applyBorder="1"/>
    <xf numFmtId="0" fontId="20" fillId="0" borderId="0" xfId="4495" applyFont="1"/>
    <xf numFmtId="0" fontId="26" fillId="0" borderId="0" xfId="4495" applyFont="1" applyAlignment="1">
      <alignment horizontal="center" vertical="center"/>
    </xf>
    <xf numFmtId="0" fontId="27" fillId="0" borderId="0" xfId="4495" applyFont="1" applyAlignment="1">
      <alignment horizontal="left"/>
    </xf>
    <xf numFmtId="0" fontId="27" fillId="0" borderId="0" xfId="4495" applyFont="1"/>
    <xf numFmtId="0" fontId="30" fillId="0" borderId="0" xfId="4495" applyFont="1" applyAlignment="1">
      <alignment horizontal="center" vertical="center"/>
    </xf>
    <xf numFmtId="0" fontId="30" fillId="0" borderId="27" xfId="4495" applyFont="1" applyBorder="1" applyAlignment="1">
      <alignment horizontal="center" vertical="center"/>
    </xf>
    <xf numFmtId="0" fontId="30" fillId="0" borderId="46" xfId="4495" applyFont="1" applyBorder="1" applyAlignment="1">
      <alignment horizontal="center" vertical="center"/>
    </xf>
    <xf numFmtId="0" fontId="27" fillId="0" borderId="0" xfId="4495" applyFont="1" applyAlignment="1">
      <alignment horizontal="right"/>
    </xf>
    <xf numFmtId="0" fontId="20" fillId="0" borderId="0" xfId="1192" quotePrefix="1" applyAlignment="1">
      <alignment horizontal="center"/>
    </xf>
    <xf numFmtId="0" fontId="50" fillId="0" borderId="0" xfId="4495" applyFont="1" applyAlignment="1">
      <alignment horizontal="left" vertical="center"/>
    </xf>
    <xf numFmtId="49" fontId="28" fillId="0" borderId="0" xfId="4495" applyNumberFormat="1" applyFont="1" applyAlignment="1">
      <alignment horizontal="left" vertical="top"/>
    </xf>
    <xf numFmtId="0" fontId="20" fillId="0" borderId="47" xfId="4495" applyFont="1" applyBorder="1" applyAlignment="1">
      <alignment horizontal="left" vertical="center"/>
    </xf>
    <xf numFmtId="0" fontId="30" fillId="0" borderId="48" xfId="4495" applyFont="1" applyBorder="1" applyAlignment="1">
      <alignment horizontal="center" vertical="center"/>
    </xf>
    <xf numFmtId="0" fontId="28" fillId="0" borderId="0" xfId="4495" applyFont="1"/>
    <xf numFmtId="0" fontId="28" fillId="0" borderId="0" xfId="4495" applyFont="1" applyAlignment="1">
      <alignment horizontal="left" vertical="top"/>
    </xf>
    <xf numFmtId="0" fontId="125" fillId="0" borderId="0" xfId="4496" applyFont="1" applyAlignment="1">
      <alignment horizontal="left" vertical="top" wrapText="1"/>
    </xf>
    <xf numFmtId="0" fontId="125" fillId="0" borderId="54" xfId="4496" applyFont="1" applyBorder="1" applyAlignment="1">
      <alignment horizontal="left" vertical="top" wrapText="1"/>
    </xf>
    <xf numFmtId="0" fontId="20" fillId="0" borderId="0" xfId="4495" applyFont="1" applyAlignment="1">
      <alignment horizontal="left" vertical="center"/>
    </xf>
    <xf numFmtId="0" fontId="126" fillId="0" borderId="0" xfId="4496" applyFont="1" applyAlignment="1">
      <alignment vertical="center"/>
    </xf>
    <xf numFmtId="0" fontId="125" fillId="0" borderId="0" xfId="4496" applyFont="1"/>
    <xf numFmtId="0" fontId="125" fillId="0" borderId="0" xfId="4496" applyFont="1" applyAlignment="1">
      <alignment vertical="center"/>
    </xf>
    <xf numFmtId="0" fontId="127" fillId="0" borderId="0" xfId="4496" applyFont="1" applyAlignment="1">
      <alignment vertical="center"/>
    </xf>
    <xf numFmtId="0" fontId="20" fillId="0" borderId="0" xfId="4496" applyFont="1" applyAlignment="1">
      <alignment vertical="center"/>
    </xf>
    <xf numFmtId="0" fontId="28" fillId="0" borderId="3" xfId="4495" applyFont="1" applyBorder="1" applyAlignment="1">
      <alignment vertical="top" wrapText="1"/>
    </xf>
    <xf numFmtId="0" fontId="28" fillId="0" borderId="4" xfId="4495" applyFont="1" applyBorder="1" applyAlignment="1">
      <alignment vertical="top" wrapText="1"/>
    </xf>
    <xf numFmtId="164" fontId="123" fillId="0" borderId="4" xfId="4495" applyNumberFormat="1" applyBorder="1" applyAlignment="1">
      <alignment horizontal="right"/>
    </xf>
    <xf numFmtId="0" fontId="28" fillId="0" borderId="4" xfId="4495" applyFont="1" applyBorder="1"/>
    <xf numFmtId="0" fontId="27" fillId="0" borderId="5" xfId="4495" applyFont="1" applyBorder="1" applyAlignment="1">
      <alignment horizontal="right"/>
    </xf>
    <xf numFmtId="0" fontId="20" fillId="0" borderId="16" xfId="4495" applyFont="1" applyBorder="1"/>
    <xf numFmtId="0" fontId="20" fillId="0" borderId="16" xfId="4495" applyFont="1" applyBorder="1" applyAlignment="1">
      <alignment horizontal="left" vertical="top"/>
    </xf>
    <xf numFmtId="0" fontId="28" fillId="0" borderId="16" xfId="4495" applyFont="1" applyBorder="1" applyAlignment="1">
      <alignment horizontal="left" vertical="top" wrapText="1"/>
    </xf>
    <xf numFmtId="0" fontId="28" fillId="0" borderId="45" xfId="4495" applyFont="1" applyBorder="1" applyAlignment="1">
      <alignment horizontal="left" vertical="top" wrapText="1"/>
    </xf>
    <xf numFmtId="0" fontId="123" fillId="0" borderId="0" xfId="4495"/>
    <xf numFmtId="0" fontId="21" fillId="0" borderId="0" xfId="244" applyFill="1" applyBorder="1" applyAlignment="1" applyProtection="1">
      <alignment horizontal="left" vertical="top"/>
    </xf>
    <xf numFmtId="0" fontId="21" fillId="0" borderId="0" xfId="244" applyFill="1" applyBorder="1" applyAlignment="1" applyProtection="1">
      <alignment horizontal="left" vertical="top" wrapText="1"/>
    </xf>
    <xf numFmtId="0" fontId="28" fillId="0" borderId="0" xfId="4495" applyFont="1" applyAlignment="1">
      <alignment horizontal="left" vertical="top" wrapText="1"/>
    </xf>
    <xf numFmtId="0" fontId="28" fillId="0" borderId="0" xfId="4495" applyFont="1" applyAlignment="1">
      <alignment horizontal="right" vertical="top"/>
    </xf>
    <xf numFmtId="0" fontId="20" fillId="0" borderId="0" xfId="4495" applyFont="1" applyAlignment="1">
      <alignment vertical="center" wrapText="1"/>
    </xf>
    <xf numFmtId="0" fontId="125" fillId="0" borderId="53" xfId="4496" applyFont="1" applyBorder="1" applyAlignment="1">
      <alignment vertical="top" wrapText="1"/>
    </xf>
    <xf numFmtId="0" fontId="125" fillId="0" borderId="0" xfId="4496" applyFont="1" applyAlignment="1">
      <alignment vertical="top" wrapText="1"/>
    </xf>
    <xf numFmtId="10" fontId="125" fillId="0" borderId="0" xfId="4496" applyNumberFormat="1" applyFont="1" applyAlignment="1">
      <alignment vertical="top" wrapText="1"/>
    </xf>
    <xf numFmtId="0" fontId="125" fillId="0" borderId="54" xfId="4496" applyFont="1" applyBorder="1" applyAlignment="1">
      <alignment vertical="top" wrapText="1"/>
    </xf>
    <xf numFmtId="0" fontId="125" fillId="0" borderId="0" xfId="4496" applyFont="1" applyAlignment="1">
      <alignment vertical="top"/>
    </xf>
    <xf numFmtId="165" fontId="125" fillId="0" borderId="0" xfId="4496" applyNumberFormat="1" applyFont="1" applyAlignment="1">
      <alignment vertical="top" wrapText="1"/>
    </xf>
    <xf numFmtId="0" fontId="27" fillId="0" borderId="57" xfId="4495" applyFont="1" applyBorder="1"/>
    <xf numFmtId="0" fontId="27" fillId="0" borderId="58" xfId="4495" applyFont="1" applyBorder="1"/>
    <xf numFmtId="0" fontId="27" fillId="0" borderId="58" xfId="4495" applyFont="1" applyBorder="1" applyAlignment="1">
      <alignment horizontal="right"/>
    </xf>
    <xf numFmtId="0" fontId="27" fillId="0" borderId="59" xfId="4495" applyFont="1" applyBorder="1" applyAlignment="1">
      <alignment horizontal="right"/>
    </xf>
    <xf numFmtId="0" fontId="125" fillId="0" borderId="53" xfId="4496" applyFont="1" applyBorder="1" applyAlignment="1">
      <alignment horizontal="left" vertical="top" wrapText="1"/>
    </xf>
    <xf numFmtId="0" fontId="125" fillId="0" borderId="0" xfId="4496" applyFont="1" applyAlignment="1">
      <alignment horizontal="left" vertical="top"/>
    </xf>
    <xf numFmtId="0" fontId="30" fillId="0" borderId="57" xfId="4495" applyFont="1" applyBorder="1" applyAlignment="1">
      <alignment horizontal="center" vertical="center"/>
    </xf>
    <xf numFmtId="0" fontId="30" fillId="0" borderId="58" xfId="4495" applyFont="1" applyBorder="1" applyAlignment="1">
      <alignment horizontal="center" vertical="center"/>
    </xf>
    <xf numFmtId="0" fontId="30" fillId="0" borderId="59" xfId="4495" applyFont="1" applyBorder="1" applyAlignment="1">
      <alignment horizontal="center" vertical="center"/>
    </xf>
    <xf numFmtId="0" fontId="27" fillId="0" borderId="0" xfId="4495" applyFont="1" applyAlignment="1">
      <alignment horizontal="center"/>
    </xf>
    <xf numFmtId="0" fontId="27" fillId="0" borderId="8" xfId="4495" applyFont="1" applyBorder="1"/>
    <xf numFmtId="0" fontId="28" fillId="0" borderId="0" xfId="4495" applyFont="1" applyAlignment="1">
      <alignment horizontal="left"/>
    </xf>
    <xf numFmtId="0" fontId="27" fillId="0" borderId="0" xfId="4495" applyFont="1" applyAlignment="1">
      <alignment horizontal="center" vertical="top"/>
    </xf>
    <xf numFmtId="0" fontId="20" fillId="0" borderId="0" xfId="4495" applyFont="1" applyAlignment="1">
      <alignment horizontal="center"/>
    </xf>
    <xf numFmtId="0" fontId="36" fillId="0" borderId="0" xfId="4495" applyFont="1"/>
    <xf numFmtId="0" fontId="28" fillId="0" borderId="8" xfId="4495" applyFont="1" applyBorder="1"/>
    <xf numFmtId="0" fontId="56" fillId="0" borderId="8" xfId="4495" applyFont="1" applyBorder="1"/>
    <xf numFmtId="1" fontId="20" fillId="0" borderId="0" xfId="1192" applyNumberFormat="1"/>
    <xf numFmtId="0" fontId="20" fillId="0" borderId="3" xfId="4495" applyFont="1" applyBorder="1"/>
    <xf numFmtId="0" fontId="20" fillId="0" borderId="4" xfId="4495" applyFont="1" applyBorder="1"/>
    <xf numFmtId="0" fontId="20" fillId="0" borderId="0" xfId="1192" applyAlignment="1">
      <alignment wrapText="1"/>
    </xf>
    <xf numFmtId="0" fontId="28" fillId="0" borderId="0" xfId="4495" applyFont="1" applyAlignment="1">
      <alignment vertical="top" wrapText="1"/>
    </xf>
    <xf numFmtId="0" fontId="28" fillId="0" borderId="0" xfId="1192" applyFont="1"/>
    <xf numFmtId="0" fontId="20" fillId="0" borderId="0" xfId="4495" applyFont="1" applyAlignment="1">
      <alignment horizontal="left"/>
    </xf>
    <xf numFmtId="0" fontId="28" fillId="0" borderId="3" xfId="4495" applyFont="1" applyBorder="1"/>
    <xf numFmtId="0" fontId="20" fillId="0" borderId="4" xfId="4495" applyFont="1" applyBorder="1" applyAlignment="1">
      <alignment horizontal="right"/>
    </xf>
    <xf numFmtId="1" fontId="20" fillId="0" borderId="0" xfId="4495" applyNumberFormat="1" applyFont="1" applyAlignment="1">
      <alignment horizontal="center"/>
    </xf>
    <xf numFmtId="0" fontId="56" fillId="0" borderId="0" xfId="4495" applyFont="1"/>
    <xf numFmtId="0" fontId="20" fillId="0" borderId="0" xfId="4495" applyFont="1" applyAlignment="1">
      <alignment horizontal="right"/>
    </xf>
    <xf numFmtId="0" fontId="28" fillId="0" borderId="0" xfId="4495" applyFont="1" applyAlignment="1">
      <alignment vertical="top"/>
    </xf>
    <xf numFmtId="0" fontId="28" fillId="0" borderId="27" xfId="4495" applyFont="1" applyBorder="1"/>
    <xf numFmtId="0" fontId="27" fillId="0" borderId="0" xfId="4495" applyFont="1" applyAlignment="1">
      <alignment vertical="top"/>
    </xf>
    <xf numFmtId="0" fontId="38" fillId="0" borderId="0" xfId="4495" applyFont="1" applyAlignment="1">
      <alignment vertical="top" wrapText="1"/>
    </xf>
    <xf numFmtId="0" fontId="27" fillId="0" borderId="0" xfId="4495" applyFont="1" applyAlignment="1">
      <alignment horizontal="left" vertical="top" wrapText="1"/>
    </xf>
    <xf numFmtId="0" fontId="20" fillId="0" borderId="0" xfId="4495" applyFont="1" applyAlignment="1">
      <alignment horizontal="left" vertical="top"/>
    </xf>
    <xf numFmtId="0" fontId="38" fillId="0" borderId="0" xfId="4495" applyFont="1" applyAlignment="1">
      <alignment vertical="top"/>
    </xf>
    <xf numFmtId="0" fontId="20" fillId="0" borderId="10" xfId="4495" applyFont="1" applyBorder="1" applyAlignment="1">
      <alignment horizontal="center"/>
    </xf>
    <xf numFmtId="0" fontId="20" fillId="0" borderId="16" xfId="4495" applyFont="1" applyBorder="1" applyAlignment="1">
      <alignment horizontal="center"/>
    </xf>
    <xf numFmtId="0" fontId="36" fillId="0" borderId="16" xfId="4495" applyFont="1" applyBorder="1"/>
    <xf numFmtId="0" fontId="28" fillId="0" borderId="16" xfId="4495" applyFont="1" applyBorder="1"/>
    <xf numFmtId="0" fontId="20" fillId="0" borderId="0" xfId="4496" applyFont="1" applyAlignment="1">
      <alignment vertical="top" wrapText="1"/>
    </xf>
    <xf numFmtId="0" fontId="27" fillId="0" borderId="0" xfId="1192" applyFont="1" applyAlignment="1">
      <alignment horizontal="right"/>
    </xf>
    <xf numFmtId="0" fontId="20" fillId="0" borderId="0" xfId="4496" applyFont="1"/>
    <xf numFmtId="0" fontId="20" fillId="0" borderId="0" xfId="4496" applyFont="1" applyAlignment="1">
      <alignment horizontal="left"/>
    </xf>
    <xf numFmtId="0" fontId="20" fillId="0" borderId="0" xfId="4496" applyFont="1" applyAlignment="1">
      <alignment horizontal="right"/>
    </xf>
    <xf numFmtId="0" fontId="28" fillId="0" borderId="0" xfId="4496" applyFont="1" applyAlignment="1">
      <alignment vertical="top" wrapText="1"/>
    </xf>
    <xf numFmtId="0" fontId="20" fillId="0" borderId="4" xfId="4496" applyFont="1" applyBorder="1"/>
    <xf numFmtId="0" fontId="27" fillId="0" borderId="4" xfId="4496" applyFont="1" applyBorder="1" applyAlignment="1">
      <alignment horizontal="right"/>
    </xf>
    <xf numFmtId="0" fontId="28" fillId="0" borderId="27" xfId="4495" applyFont="1" applyBorder="1" applyAlignment="1">
      <alignment horizontal="left" vertical="top"/>
    </xf>
    <xf numFmtId="0" fontId="20" fillId="0" borderId="27" xfId="4495" applyFont="1" applyBorder="1" applyAlignment="1">
      <alignment horizontal="left" vertical="top"/>
    </xf>
    <xf numFmtId="0" fontId="27" fillId="0" borderId="27" xfId="4495" applyFont="1" applyBorder="1" applyAlignment="1">
      <alignment horizontal="right"/>
    </xf>
    <xf numFmtId="0" fontId="20" fillId="0" borderId="27" xfId="4495" applyFont="1" applyBorder="1" applyAlignment="1">
      <alignment horizontal="center"/>
    </xf>
    <xf numFmtId="0" fontId="20" fillId="0" borderId="46" xfId="4495" applyFont="1" applyBorder="1" applyAlignment="1">
      <alignment horizontal="center"/>
    </xf>
    <xf numFmtId="164" fontId="28" fillId="0" borderId="0" xfId="4495" applyNumberFormat="1" applyFont="1" applyAlignment="1">
      <alignment horizontal="left" vertical="top" wrapText="1"/>
    </xf>
    <xf numFmtId="0" fontId="31" fillId="0" borderId="0" xfId="4495" applyFont="1"/>
    <xf numFmtId="0" fontId="28" fillId="0" borderId="0" xfId="4495" applyFont="1" applyAlignment="1">
      <alignment horizontal="right"/>
    </xf>
    <xf numFmtId="0" fontId="20" fillId="0" borderId="27" xfId="543" applyBorder="1"/>
    <xf numFmtId="0" fontId="20" fillId="0" borderId="46" xfId="543" applyBorder="1"/>
    <xf numFmtId="0" fontId="27" fillId="0" borderId="0" xfId="4495" applyFont="1" applyAlignment="1">
      <alignment horizontal="left" vertical="top"/>
    </xf>
    <xf numFmtId="1" fontId="123" fillId="0" borderId="0" xfId="4495" applyNumberFormat="1"/>
    <xf numFmtId="0" fontId="20" fillId="0" borderId="0" xfId="4495" applyFont="1" applyAlignment="1">
      <alignment vertical="top" wrapText="1"/>
    </xf>
    <xf numFmtId="0" fontId="20" fillId="0" borderId="0" xfId="4495" applyFont="1" applyAlignment="1">
      <alignment horizontal="left" vertical="top" wrapText="1"/>
    </xf>
    <xf numFmtId="0" fontId="20" fillId="0" borderId="50" xfId="4495" applyFont="1" applyBorder="1" applyAlignment="1">
      <alignment vertical="top"/>
    </xf>
    <xf numFmtId="1" fontId="28" fillId="0" borderId="8" xfId="4495" applyNumberFormat="1" applyFont="1" applyBorder="1"/>
    <xf numFmtId="0" fontId="20" fillId="0" borderId="0" xfId="543" applyAlignment="1">
      <alignment vertical="top"/>
    </xf>
    <xf numFmtId="0" fontId="28" fillId="0" borderId="51" xfId="4495" applyFont="1" applyBorder="1" applyAlignment="1">
      <alignment horizontal="left" vertical="top"/>
    </xf>
    <xf numFmtId="0" fontId="28" fillId="0" borderId="52" xfId="4495" applyFont="1" applyBorder="1" applyAlignment="1">
      <alignment horizontal="left" vertical="top"/>
    </xf>
    <xf numFmtId="0" fontId="123" fillId="0" borderId="0" xfId="4495" applyAlignment="1" applyProtection="1">
      <alignment horizontal="center"/>
      <protection locked="0"/>
    </xf>
    <xf numFmtId="0" fontId="20" fillId="0" borderId="53" xfId="4495" applyFont="1" applyBorder="1" applyAlignment="1">
      <alignment vertical="top"/>
    </xf>
    <xf numFmtId="0" fontId="20" fillId="0" borderId="54" xfId="4495" applyFont="1" applyBorder="1" applyAlignment="1">
      <alignment vertical="top" wrapText="1"/>
    </xf>
    <xf numFmtId="0" fontId="64" fillId="0" borderId="53" xfId="4495" applyFont="1" applyBorder="1"/>
    <xf numFmtId="0" fontId="28" fillId="0" borderId="54" xfId="4495" applyFont="1" applyBorder="1" applyAlignment="1">
      <alignment horizontal="left" vertical="top"/>
    </xf>
    <xf numFmtId="0" fontId="20" fillId="0" borderId="53" xfId="4495" applyFont="1" applyBorder="1" applyAlignment="1">
      <alignment vertical="center" wrapText="1"/>
    </xf>
    <xf numFmtId="0" fontId="64" fillId="0" borderId="57" xfId="4495" applyFont="1" applyBorder="1"/>
    <xf numFmtId="0" fontId="28" fillId="0" borderId="58" xfId="4495" applyFont="1" applyBorder="1" applyAlignment="1">
      <alignment horizontal="left" vertical="top"/>
    </xf>
    <xf numFmtId="0" fontId="28" fillId="0" borderId="12" xfId="4495" applyFont="1" applyBorder="1"/>
    <xf numFmtId="0" fontId="20" fillId="0" borderId="57" xfId="4495" applyFont="1" applyBorder="1" applyAlignment="1">
      <alignment vertical="center"/>
    </xf>
    <xf numFmtId="0" fontId="20" fillId="0" borderId="58" xfId="4495" applyFont="1" applyBorder="1" applyAlignment="1">
      <alignment vertical="top"/>
    </xf>
    <xf numFmtId="0" fontId="20" fillId="0" borderId="59" xfId="4495" applyFont="1" applyBorder="1" applyAlignment="1">
      <alignment vertical="top"/>
    </xf>
    <xf numFmtId="0" fontId="20" fillId="0" borderId="0" xfId="4495" applyFont="1" applyAlignment="1">
      <alignment vertical="top"/>
    </xf>
    <xf numFmtId="0" fontId="28" fillId="0" borderId="4" xfId="4495" applyFont="1" applyBorder="1" applyAlignment="1">
      <alignment horizontal="left" vertical="top"/>
    </xf>
    <xf numFmtId="0" fontId="20" fillId="0" borderId="4" xfId="4495" applyFont="1" applyBorder="1" applyAlignment="1">
      <alignment horizontal="left" vertical="top"/>
    </xf>
    <xf numFmtId="0" fontId="20" fillId="0" borderId="2" xfId="4495" applyFont="1" applyBorder="1"/>
    <xf numFmtId="0" fontId="28" fillId="0" borderId="2" xfId="4495" applyFont="1" applyBorder="1"/>
    <xf numFmtId="0" fontId="20" fillId="0" borderId="2" xfId="4495" applyFont="1" applyBorder="1" applyAlignment="1">
      <alignment horizontal="center"/>
    </xf>
    <xf numFmtId="0" fontId="28" fillId="0" borderId="7" xfId="4495" applyFont="1" applyBorder="1"/>
    <xf numFmtId="0" fontId="36" fillId="0" borderId="0" xfId="4495" applyFont="1" applyAlignment="1">
      <alignment horizontal="right"/>
    </xf>
    <xf numFmtId="0" fontId="128" fillId="0" borderId="0" xfId="4495" applyFont="1" applyAlignment="1">
      <alignment horizontal="left" vertical="top" wrapText="1"/>
    </xf>
    <xf numFmtId="0" fontId="36" fillId="0" borderId="0" xfId="4495" applyFont="1" applyAlignment="1">
      <alignment horizontal="left" vertical="top"/>
    </xf>
    <xf numFmtId="0" fontId="28" fillId="0" borderId="0" xfId="4495" quotePrefix="1" applyFont="1" applyAlignment="1">
      <alignment horizontal="right"/>
    </xf>
    <xf numFmtId="0" fontId="20" fillId="0" borderId="0" xfId="4497"/>
    <xf numFmtId="0" fontId="28" fillId="0" borderId="0" xfId="4495" applyFont="1" applyAlignment="1">
      <alignment horizontal="left" vertical="top" wrapText="1" shrinkToFit="1"/>
    </xf>
    <xf numFmtId="0" fontId="123" fillId="0" borderId="0" xfId="4495" applyAlignment="1">
      <alignment vertical="top" wrapText="1"/>
    </xf>
    <xf numFmtId="0" fontId="28" fillId="0" borderId="4" xfId="4495" applyFont="1" applyBorder="1" applyAlignment="1">
      <alignment horizontal="left" vertical="top" wrapText="1" shrinkToFit="1"/>
    </xf>
    <xf numFmtId="0" fontId="36" fillId="0" borderId="8" xfId="4495" applyFont="1" applyBorder="1"/>
    <xf numFmtId="0" fontId="28" fillId="0" borderId="0" xfId="4495" applyFont="1" applyAlignment="1">
      <alignment horizontal="center"/>
    </xf>
    <xf numFmtId="0" fontId="28" fillId="0" borderId="0" xfId="4495" quotePrefix="1" applyFont="1"/>
    <xf numFmtId="0" fontId="28" fillId="0" borderId="0" xfId="4495" applyFont="1" applyAlignment="1">
      <alignment horizontal="left" vertical="top" shrinkToFit="1"/>
    </xf>
    <xf numFmtId="0" fontId="50" fillId="0" borderId="0" xfId="4495" applyFont="1"/>
    <xf numFmtId="0" fontId="28" fillId="0" borderId="3" xfId="4495" applyFont="1" applyBorder="1" applyAlignment="1">
      <alignment horizontal="center"/>
    </xf>
    <xf numFmtId="0" fontId="123" fillId="0" borderId="8" xfId="4495" applyBorder="1"/>
    <xf numFmtId="0" fontId="27" fillId="0" borderId="8" xfId="4495" applyFont="1" applyBorder="1" applyAlignment="1">
      <alignment vertical="top"/>
    </xf>
    <xf numFmtId="0" fontId="123" fillId="0" borderId="0" xfId="4495" applyAlignment="1">
      <alignment vertical="top"/>
    </xf>
    <xf numFmtId="0" fontId="27" fillId="0" borderId="4" xfId="4495" applyFont="1" applyBorder="1" applyAlignment="1">
      <alignment horizontal="center" vertical="top"/>
    </xf>
    <xf numFmtId="0" fontId="128" fillId="0" borderId="0" xfId="4495" applyFont="1" applyAlignment="1">
      <alignment horizontal="left" vertical="top"/>
    </xf>
    <xf numFmtId="0" fontId="128" fillId="0" borderId="4" xfId="4495" applyFont="1" applyBorder="1" applyAlignment="1">
      <alignment horizontal="left" vertical="top"/>
    </xf>
    <xf numFmtId="168" fontId="20" fillId="0" borderId="0" xfId="4497" applyNumberFormat="1"/>
    <xf numFmtId="1" fontId="28" fillId="0" borderId="0" xfId="4495" applyNumberFormat="1" applyFont="1" applyAlignment="1">
      <alignment horizontal="center" vertical="top"/>
    </xf>
    <xf numFmtId="0" fontId="132" fillId="0" borderId="0" xfId="4495" applyFont="1" applyAlignment="1">
      <alignment vertical="top" wrapText="1"/>
    </xf>
    <xf numFmtId="0" fontId="132" fillId="0" borderId="0" xfId="4495" applyFont="1" applyAlignment="1">
      <alignment horizontal="left" vertical="top" wrapText="1"/>
    </xf>
    <xf numFmtId="0" fontId="28" fillId="0" borderId="6" xfId="4495" applyFont="1" applyBorder="1"/>
    <xf numFmtId="1" fontId="28" fillId="0" borderId="8" xfId="4495" applyNumberFormat="1" applyFont="1" applyBorder="1" applyAlignment="1">
      <alignment horizontal="center" vertical="top"/>
    </xf>
    <xf numFmtId="0" fontId="123" fillId="0" borderId="12" xfId="4495" applyBorder="1"/>
    <xf numFmtId="0" fontId="28" fillId="0" borderId="9" xfId="4495" applyFont="1" applyBorder="1"/>
    <xf numFmtId="0" fontId="123" fillId="0" borderId="10" xfId="4495" applyBorder="1"/>
    <xf numFmtId="0" fontId="36" fillId="0" borderId="3" xfId="4495" applyFont="1" applyBorder="1"/>
    <xf numFmtId="0" fontId="27" fillId="0" borderId="4" xfId="4495" applyFont="1" applyBorder="1"/>
    <xf numFmtId="0" fontId="123" fillId="0" borderId="12" xfId="4495" applyBorder="1" applyAlignment="1">
      <alignment vertical="top"/>
    </xf>
    <xf numFmtId="0" fontId="36" fillId="0" borderId="1" xfId="4495" applyFont="1" applyBorder="1"/>
    <xf numFmtId="0" fontId="132" fillId="0" borderId="2" xfId="4495" applyFont="1" applyBorder="1" applyAlignment="1">
      <alignment horizontal="left" wrapText="1"/>
    </xf>
    <xf numFmtId="0" fontId="132" fillId="0" borderId="2" xfId="4495" applyFont="1" applyBorder="1" applyAlignment="1">
      <alignment horizontal="left"/>
    </xf>
    <xf numFmtId="0" fontId="132" fillId="0" borderId="7" xfId="4495" applyFont="1" applyBorder="1" applyAlignment="1">
      <alignment horizontal="left" wrapText="1"/>
    </xf>
    <xf numFmtId="0" fontId="132" fillId="0" borderId="0" xfId="4495" applyFont="1" applyAlignment="1">
      <alignment horizontal="left" wrapText="1"/>
    </xf>
    <xf numFmtId="0" fontId="36" fillId="0" borderId="9" xfId="4495" applyFont="1" applyBorder="1"/>
    <xf numFmtId="0" fontId="28" fillId="0" borderId="10" xfId="4495" applyFont="1" applyBorder="1"/>
    <xf numFmtId="0" fontId="132" fillId="0" borderId="0" xfId="4495" applyFont="1" applyAlignment="1">
      <alignment wrapText="1"/>
    </xf>
    <xf numFmtId="0" fontId="36" fillId="0" borderId="9" xfId="4495" applyFont="1" applyBorder="1" applyAlignment="1">
      <alignment horizontal="center"/>
    </xf>
    <xf numFmtId="0" fontId="27" fillId="0" borderId="10" xfId="4495" applyFont="1" applyBorder="1"/>
    <xf numFmtId="0" fontId="38" fillId="0" borderId="0" xfId="4495" applyFont="1"/>
    <xf numFmtId="0" fontId="28" fillId="0" borderId="50" xfId="4495" applyFont="1" applyBorder="1"/>
    <xf numFmtId="0" fontId="28" fillId="0" borderId="51" xfId="4495" applyFont="1" applyBorder="1"/>
    <xf numFmtId="1" fontId="28" fillId="0" borderId="51" xfId="4495" quotePrefix="1" applyNumberFormat="1" applyFont="1" applyBorder="1" applyAlignment="1">
      <alignment horizontal="center" vertical="top"/>
    </xf>
    <xf numFmtId="0" fontId="27" fillId="0" borderId="51" xfId="4495" applyFont="1" applyBorder="1"/>
    <xf numFmtId="0" fontId="27" fillId="0" borderId="52" xfId="4495" applyFont="1" applyBorder="1" applyAlignment="1">
      <alignment horizontal="center"/>
    </xf>
    <xf numFmtId="0" fontId="20" fillId="0" borderId="53" xfId="4495" applyFont="1" applyBorder="1"/>
    <xf numFmtId="1" fontId="28" fillId="0" borderId="0" xfId="4495" quotePrefix="1" applyNumberFormat="1" applyFont="1" applyAlignment="1">
      <alignment horizontal="center" vertical="top"/>
    </xf>
    <xf numFmtId="0" fontId="27" fillId="0" borderId="54" xfId="4495" applyFont="1" applyBorder="1" applyAlignment="1">
      <alignment horizontal="center"/>
    </xf>
    <xf numFmtId="0" fontId="36" fillId="0" borderId="0" xfId="4495" applyFont="1" applyAlignment="1">
      <alignment vertical="top"/>
    </xf>
    <xf numFmtId="0" fontId="28" fillId="0" borderId="61" xfId="4495" applyFont="1" applyBorder="1"/>
    <xf numFmtId="0" fontId="123" fillId="0" borderId="58" xfId="4495" applyBorder="1" applyAlignment="1">
      <alignment horizontal="center"/>
    </xf>
    <xf numFmtId="1" fontId="28" fillId="0" borderId="58" xfId="4495" quotePrefix="1" applyNumberFormat="1" applyFont="1" applyBorder="1" applyAlignment="1">
      <alignment horizontal="center" vertical="top"/>
    </xf>
    <xf numFmtId="0" fontId="36" fillId="0" borderId="58" xfId="4495" applyFont="1" applyBorder="1" applyAlignment="1">
      <alignment vertical="top"/>
    </xf>
    <xf numFmtId="0" fontId="28" fillId="0" borderId="58" xfId="4495" applyFont="1" applyBorder="1" applyAlignment="1">
      <alignment vertical="top" wrapText="1"/>
    </xf>
    <xf numFmtId="0" fontId="28" fillId="0" borderId="58" xfId="4495" applyFont="1" applyBorder="1"/>
    <xf numFmtId="0" fontId="27" fillId="0" borderId="58" xfId="4495" applyFont="1" applyBorder="1" applyAlignment="1">
      <alignment horizontal="center"/>
    </xf>
    <xf numFmtId="0" fontId="123" fillId="0" borderId="61" xfId="4495" applyBorder="1"/>
    <xf numFmtId="0" fontId="123" fillId="0" borderId="0" xfId="4495" applyAlignment="1">
      <alignment horizontal="center"/>
    </xf>
    <xf numFmtId="0" fontId="20" fillId="0" borderId="53" xfId="543" applyBorder="1"/>
    <xf numFmtId="0" fontId="28" fillId="0" borderId="54" xfId="4495" applyFont="1" applyBorder="1"/>
    <xf numFmtId="0" fontId="20" fillId="0" borderId="58" xfId="543" applyBorder="1"/>
    <xf numFmtId="1" fontId="28" fillId="0" borderId="58" xfId="4495" applyNumberFormat="1" applyFont="1" applyBorder="1" applyAlignment="1">
      <alignment horizontal="center" vertical="top"/>
    </xf>
    <xf numFmtId="0" fontId="36" fillId="0" borderId="58" xfId="4495" applyFont="1" applyBorder="1" applyAlignment="1">
      <alignment vertical="center"/>
    </xf>
    <xf numFmtId="0" fontId="123" fillId="0" borderId="58" xfId="4495" applyBorder="1" applyAlignment="1">
      <alignment vertical="top" wrapText="1"/>
    </xf>
    <xf numFmtId="0" fontId="20" fillId="0" borderId="58" xfId="4495" applyFont="1" applyBorder="1"/>
    <xf numFmtId="0" fontId="36" fillId="0" borderId="0" xfId="4495" applyFont="1" applyAlignment="1">
      <alignment vertical="center"/>
    </xf>
    <xf numFmtId="0" fontId="28" fillId="0" borderId="53" xfId="4495" applyFont="1" applyBorder="1"/>
    <xf numFmtId="0" fontId="20" fillId="0" borderId="57" xfId="543" applyBorder="1"/>
    <xf numFmtId="0" fontId="28" fillId="0" borderId="58" xfId="4495" applyFont="1" applyBorder="1" applyAlignment="1">
      <alignment vertical="top"/>
    </xf>
    <xf numFmtId="0" fontId="28" fillId="0" borderId="59" xfId="4495" applyFont="1" applyBorder="1"/>
    <xf numFmtId="0" fontId="28" fillId="0" borderId="57" xfId="4495" applyFont="1" applyBorder="1"/>
    <xf numFmtId="0" fontId="20" fillId="0" borderId="51" xfId="4495" applyFont="1" applyBorder="1"/>
    <xf numFmtId="0" fontId="28" fillId="0" borderId="52" xfId="4495" applyFont="1" applyBorder="1"/>
    <xf numFmtId="0" fontId="20" fillId="0" borderId="50" xfId="543" applyBorder="1"/>
    <xf numFmtId="0" fontId="20" fillId="0" borderId="51" xfId="543" applyBorder="1"/>
    <xf numFmtId="0" fontId="20" fillId="0" borderId="52" xfId="543" applyBorder="1"/>
    <xf numFmtId="0" fontId="28" fillId="0" borderId="0" xfId="4495" applyFont="1" applyAlignment="1">
      <alignment wrapText="1"/>
    </xf>
    <xf numFmtId="0" fontId="27" fillId="0" borderId="54" xfId="4495" applyFont="1" applyBorder="1" applyAlignment="1">
      <alignment horizontal="center" vertical="top"/>
    </xf>
    <xf numFmtId="0" fontId="123" fillId="0" borderId="53" xfId="4495" applyBorder="1" applyAlignment="1">
      <alignment horizontal="center"/>
    </xf>
    <xf numFmtId="2" fontId="28" fillId="0" borderId="0" xfId="4495" applyNumberFormat="1" applyFont="1" applyAlignment="1">
      <alignment horizontal="right"/>
    </xf>
    <xf numFmtId="2" fontId="28" fillId="0" borderId="8" xfId="4495" applyNumberFormat="1" applyFont="1" applyBorder="1" applyAlignment="1">
      <alignment horizontal="left"/>
    </xf>
    <xf numFmtId="0" fontId="28" fillId="0" borderId="8" xfId="4495" applyFont="1" applyBorder="1" applyAlignment="1">
      <alignment horizontal="right"/>
    </xf>
    <xf numFmtId="0" fontId="131" fillId="0" borderId="0" xfId="4495" applyFont="1"/>
    <xf numFmtId="0" fontId="123" fillId="0" borderId="57" xfId="4495" applyBorder="1" applyAlignment="1">
      <alignment horizontal="center"/>
    </xf>
    <xf numFmtId="0" fontId="27" fillId="0" borderId="59" xfId="4495" applyFont="1" applyBorder="1" applyAlignment="1">
      <alignment horizontal="center"/>
    </xf>
    <xf numFmtId="9" fontId="28" fillId="0" borderId="0" xfId="4495" applyNumberFormat="1" applyFont="1" applyAlignment="1">
      <alignment horizontal="left"/>
    </xf>
    <xf numFmtId="0" fontId="20" fillId="0" borderId="17" xfId="543" applyBorder="1"/>
    <xf numFmtId="0" fontId="20" fillId="0" borderId="16" xfId="543" applyBorder="1"/>
    <xf numFmtId="0" fontId="20" fillId="0" borderId="51" xfId="4495" quotePrefix="1" applyFont="1" applyBorder="1" applyAlignment="1">
      <alignment horizontal="center" vertical="top"/>
    </xf>
    <xf numFmtId="0" fontId="28" fillId="0" borderId="53" xfId="4495" applyFont="1" applyBorder="1" applyAlignment="1">
      <alignment horizontal="left" vertical="top"/>
    </xf>
    <xf numFmtId="0" fontId="28" fillId="0" borderId="0" xfId="4495" applyFont="1" applyAlignment="1">
      <alignment horizontal="center" vertical="top"/>
    </xf>
    <xf numFmtId="0" fontId="28" fillId="0" borderId="57" xfId="4495" applyFont="1" applyBorder="1" applyAlignment="1">
      <alignment horizontal="left" vertical="top"/>
    </xf>
    <xf numFmtId="0" fontId="28" fillId="0" borderId="58" xfId="4495" applyFont="1" applyBorder="1" applyAlignment="1">
      <alignment horizontal="center" vertical="top"/>
    </xf>
    <xf numFmtId="0" fontId="123" fillId="0" borderId="58" xfId="4495" applyBorder="1"/>
    <xf numFmtId="0" fontId="27" fillId="0" borderId="58" xfId="4495" applyFont="1" applyBorder="1" applyAlignment="1">
      <alignment vertical="top"/>
    </xf>
    <xf numFmtId="0" fontId="27" fillId="0" borderId="58" xfId="4495" applyFont="1" applyBorder="1" applyAlignment="1">
      <alignment horizontal="left" vertical="top"/>
    </xf>
    <xf numFmtId="0" fontId="27" fillId="0" borderId="51" xfId="4495" applyFont="1" applyBorder="1" applyAlignment="1">
      <alignment horizontal="left" vertical="top"/>
    </xf>
    <xf numFmtId="0" fontId="27" fillId="0" borderId="53" xfId="4495" applyFont="1" applyBorder="1" applyAlignment="1">
      <alignment horizontal="left" vertical="top"/>
    </xf>
    <xf numFmtId="0" fontId="56" fillId="0" borderId="0" xfId="4495" applyFont="1" applyAlignment="1">
      <alignment horizontal="left" vertical="top"/>
    </xf>
    <xf numFmtId="0" fontId="28" fillId="0" borderId="0" xfId="4495" quotePrefix="1" applyFont="1" applyAlignment="1">
      <alignment horizontal="center" vertical="top"/>
    </xf>
    <xf numFmtId="0" fontId="57" fillId="0" borderId="0" xfId="4495" applyFont="1" applyAlignment="1">
      <alignment horizontal="center"/>
    </xf>
    <xf numFmtId="0" fontId="57" fillId="0" borderId="0" xfId="4495" applyFont="1" applyAlignment="1">
      <alignment vertical="top"/>
    </xf>
    <xf numFmtId="0" fontId="110" fillId="0" borderId="0" xfId="4495" applyFont="1"/>
    <xf numFmtId="0" fontId="56" fillId="0" borderId="0" xfId="4495" applyFont="1" applyAlignment="1">
      <alignment vertical="top"/>
    </xf>
    <xf numFmtId="0" fontId="36" fillId="0" borderId="53" xfId="4495" applyFont="1" applyBorder="1"/>
    <xf numFmtId="2" fontId="28" fillId="0" borderId="8" xfId="4495" applyNumberFormat="1" applyFont="1" applyBorder="1" applyAlignment="1">
      <alignment horizontal="right"/>
    </xf>
    <xf numFmtId="0" fontId="27" fillId="0" borderId="50" xfId="4495" applyFont="1" applyBorder="1" applyAlignment="1">
      <alignment horizontal="left" vertical="top"/>
    </xf>
    <xf numFmtId="0" fontId="56" fillId="0" borderId="51" xfId="4495" applyFont="1" applyBorder="1" applyAlignment="1">
      <alignment horizontal="left" vertical="top"/>
    </xf>
    <xf numFmtId="0" fontId="123" fillId="0" borderId="53" xfId="4495" applyBorder="1"/>
    <xf numFmtId="0" fontId="110" fillId="0" borderId="0" xfId="4495" applyFont="1" applyAlignment="1">
      <alignment horizontal="left" vertical="top"/>
    </xf>
    <xf numFmtId="1" fontId="27" fillId="0" borderId="58" xfId="4495" applyNumberFormat="1" applyFont="1" applyBorder="1" applyAlignment="1">
      <alignment vertical="top"/>
    </xf>
    <xf numFmtId="172" fontId="27" fillId="0" borderId="8" xfId="543" applyNumberFormat="1" applyFont="1" applyBorder="1"/>
    <xf numFmtId="172" fontId="27" fillId="0" borderId="0" xfId="543" applyNumberFormat="1" applyFont="1"/>
    <xf numFmtId="0" fontId="36" fillId="0" borderId="0" xfId="4495" applyFont="1" applyAlignment="1">
      <alignment wrapText="1"/>
    </xf>
    <xf numFmtId="0" fontId="36" fillId="0" borderId="0" xfId="4495" applyFont="1" applyAlignment="1">
      <alignment horizontal="center"/>
    </xf>
    <xf numFmtId="0" fontId="36" fillId="0" borderId="0" xfId="4495" applyFont="1" applyAlignment="1">
      <alignment vertical="center" wrapText="1"/>
    </xf>
    <xf numFmtId="180" fontId="28" fillId="0" borderId="0" xfId="4495" applyNumberFormat="1" applyFont="1" applyAlignment="1">
      <alignment horizontal="center"/>
    </xf>
    <xf numFmtId="1" fontId="28" fillId="0" borderId="0" xfId="4495" applyNumberFormat="1" applyFont="1" applyAlignment="1">
      <alignment horizontal="center"/>
    </xf>
    <xf numFmtId="0" fontId="27" fillId="0" borderId="51" xfId="4495" applyFont="1" applyBorder="1" applyAlignment="1">
      <alignment horizontal="center"/>
    </xf>
    <xf numFmtId="0" fontId="27" fillId="0" borderId="51" xfId="4495" applyFont="1" applyBorder="1" applyAlignment="1">
      <alignment vertical="top"/>
    </xf>
    <xf numFmtId="0" fontId="27" fillId="0" borderId="53" xfId="4495" applyFont="1" applyBorder="1"/>
    <xf numFmtId="0" fontId="20" fillId="0" borderId="54" xfId="543" applyBorder="1"/>
    <xf numFmtId="49" fontId="28" fillId="0" borderId="0" xfId="4495" applyNumberFormat="1" applyFont="1" applyAlignment="1">
      <alignment horizontal="left" vertical="center" wrapText="1"/>
    </xf>
    <xf numFmtId="0" fontId="20" fillId="0" borderId="57" xfId="4495" applyFont="1" applyBorder="1"/>
    <xf numFmtId="1" fontId="20" fillId="0" borderId="0" xfId="4495" applyNumberFormat="1" applyFont="1" applyAlignment="1">
      <alignment vertical="center"/>
    </xf>
    <xf numFmtId="0" fontId="38" fillId="0" borderId="50" xfId="4495" applyFont="1" applyBorder="1"/>
    <xf numFmtId="0" fontId="28" fillId="0" borderId="51" xfId="4495" applyFont="1" applyBorder="1" applyAlignment="1">
      <alignment horizontal="center" vertical="top"/>
    </xf>
    <xf numFmtId="0" fontId="28" fillId="0" borderId="51" xfId="4495" applyFont="1" applyBorder="1" applyAlignment="1">
      <alignment vertical="top" wrapText="1"/>
    </xf>
    <xf numFmtId="0" fontId="28" fillId="0" borderId="51" xfId="4495" applyFont="1" applyBorder="1" applyAlignment="1">
      <alignment horizontal="left" vertical="top" wrapText="1"/>
    </xf>
    <xf numFmtId="0" fontId="20" fillId="0" borderId="0" xfId="4495" quotePrefix="1" applyFont="1" applyAlignment="1">
      <alignment horizontal="center" vertical="top"/>
    </xf>
    <xf numFmtId="1" fontId="28" fillId="0" borderId="0" xfId="4495" quotePrefix="1" applyNumberFormat="1" applyFont="1" applyAlignment="1">
      <alignment wrapText="1"/>
    </xf>
    <xf numFmtId="0" fontId="28" fillId="0" borderId="6" xfId="4495" applyFont="1" applyBorder="1" applyAlignment="1">
      <alignment horizontal="right"/>
    </xf>
    <xf numFmtId="0" fontId="125" fillId="0" borderId="0" xfId="4496" applyFont="1" applyAlignment="1">
      <alignment wrapText="1"/>
    </xf>
    <xf numFmtId="0" fontId="20" fillId="0" borderId="0" xfId="4496" applyFont="1" applyAlignment="1">
      <alignment wrapText="1"/>
    </xf>
    <xf numFmtId="0" fontId="36" fillId="0" borderId="51" xfId="4495" applyFont="1" applyBorder="1" applyAlignment="1">
      <alignment vertical="top"/>
    </xf>
    <xf numFmtId="0" fontId="20" fillId="0" borderId="51" xfId="4496" applyFont="1" applyBorder="1" applyAlignment="1">
      <alignment wrapText="1"/>
    </xf>
    <xf numFmtId="0" fontId="27" fillId="0" borderId="51" xfId="4495" applyFont="1" applyBorder="1" applyAlignment="1">
      <alignment horizontal="right"/>
    </xf>
    <xf numFmtId="0" fontId="20" fillId="0" borderId="52" xfId="4495" applyFont="1" applyBorder="1" applyAlignment="1">
      <alignment horizontal="center"/>
    </xf>
    <xf numFmtId="0" fontId="20" fillId="0" borderId="53" xfId="4495" applyFont="1" applyBorder="1" applyAlignment="1">
      <alignment horizontal="left" vertical="top"/>
    </xf>
    <xf numFmtId="0" fontId="20" fillId="0" borderId="54" xfId="4495" applyFont="1" applyBorder="1" applyAlignment="1">
      <alignment horizontal="left" vertical="top"/>
    </xf>
    <xf numFmtId="0" fontId="20" fillId="0" borderId="54" xfId="4495" applyFont="1" applyBorder="1" applyAlignment="1">
      <alignment horizontal="center"/>
    </xf>
    <xf numFmtId="0" fontId="20" fillId="0" borderId="59" xfId="4495" applyFont="1" applyBorder="1" applyAlignment="1">
      <alignment horizontal="center"/>
    </xf>
    <xf numFmtId="9" fontId="20" fillId="0" borderId="0" xfId="4496" applyNumberFormat="1" applyFont="1" applyAlignment="1">
      <alignment horizontal="center"/>
    </xf>
    <xf numFmtId="1" fontId="20" fillId="0" borderId="0" xfId="543" applyNumberFormat="1"/>
    <xf numFmtId="0" fontId="28" fillId="0" borderId="1" xfId="4495" applyFont="1" applyBorder="1"/>
    <xf numFmtId="0" fontId="27" fillId="0" borderId="0" xfId="4495" applyFont="1" applyAlignment="1">
      <alignment horizontal="center" wrapText="1"/>
    </xf>
    <xf numFmtId="0" fontId="27" fillId="0" borderId="9" xfId="4495" applyFont="1" applyBorder="1" applyAlignment="1">
      <alignment horizontal="left"/>
    </xf>
    <xf numFmtId="0" fontId="27" fillId="0" borderId="3" xfId="4495" applyFont="1" applyBorder="1" applyAlignment="1">
      <alignment horizontal="left"/>
    </xf>
    <xf numFmtId="0" fontId="27" fillId="0" borderId="4" xfId="4495" applyFont="1" applyBorder="1" applyAlignment="1">
      <alignment horizontal="left"/>
    </xf>
    <xf numFmtId="0" fontId="20" fillId="0" borderId="2" xfId="4495" applyFont="1" applyBorder="1" applyAlignment="1">
      <alignment horizontal="left"/>
    </xf>
    <xf numFmtId="0" fontId="27" fillId="0" borderId="2" xfId="4495" applyFont="1" applyBorder="1" applyAlignment="1">
      <alignment horizontal="left"/>
    </xf>
    <xf numFmtId="0" fontId="27" fillId="0" borderId="5" xfId="4495" applyFont="1" applyBorder="1" applyAlignment="1">
      <alignment horizontal="left"/>
    </xf>
    <xf numFmtId="180" fontId="67" fillId="0" borderId="0" xfId="4495" applyNumberFormat="1" applyFont="1" applyAlignment="1">
      <alignment horizontal="center" vertical="center"/>
    </xf>
    <xf numFmtId="0" fontId="20" fillId="0" borderId="12" xfId="4495" applyFont="1" applyBorder="1" applyAlignment="1">
      <alignment vertical="top"/>
    </xf>
    <xf numFmtId="0" fontId="50" fillId="0" borderId="0" xfId="4495" applyFont="1" applyAlignment="1">
      <alignment vertical="top" wrapText="1"/>
    </xf>
    <xf numFmtId="0" fontId="20" fillId="0" borderId="51" xfId="4495" applyFont="1" applyBorder="1" applyAlignment="1">
      <alignment horizontal="left" vertical="top" wrapText="1"/>
    </xf>
    <xf numFmtId="0" fontId="20" fillId="0" borderId="51" xfId="4495" applyFont="1" applyBorder="1" applyAlignment="1">
      <alignment horizontal="right"/>
    </xf>
    <xf numFmtId="0" fontId="20" fillId="0" borderId="52" xfId="4495" applyFont="1" applyBorder="1" applyAlignment="1">
      <alignment horizontal="right"/>
    </xf>
    <xf numFmtId="0" fontId="20" fillId="0" borderId="54" xfId="4495" applyFont="1" applyBorder="1" applyAlignment="1">
      <alignment horizontal="right"/>
    </xf>
    <xf numFmtId="0" fontId="20" fillId="0" borderId="58" xfId="4495" applyFont="1" applyBorder="1" applyAlignment="1">
      <alignment horizontal="left" vertical="top" wrapText="1"/>
    </xf>
    <xf numFmtId="0" fontId="20" fillId="0" borderId="58" xfId="4495" applyFont="1" applyBorder="1" applyAlignment="1">
      <alignment horizontal="right"/>
    </xf>
    <xf numFmtId="0" fontId="20" fillId="0" borderId="59" xfId="4495" applyFont="1" applyBorder="1" applyAlignment="1">
      <alignment horizontal="right"/>
    </xf>
    <xf numFmtId="0" fontId="50" fillId="0" borderId="0" xfId="4495" applyFont="1" applyAlignment="1">
      <alignment horizontal="left" vertical="top" wrapText="1"/>
    </xf>
    <xf numFmtId="0" fontId="20" fillId="0" borderId="0" xfId="1192" applyAlignment="1">
      <alignment horizontal="left" vertical="top"/>
    </xf>
    <xf numFmtId="0" fontId="38" fillId="0" borderId="0" xfId="1192" applyFont="1" applyAlignment="1">
      <alignment horizontal="left" vertical="top"/>
    </xf>
    <xf numFmtId="0" fontId="20" fillId="0" borderId="0" xfId="1192" applyAlignment="1">
      <alignment vertical="top"/>
    </xf>
    <xf numFmtId="168" fontId="20" fillId="0" borderId="0" xfId="1192" applyNumberFormat="1"/>
    <xf numFmtId="165" fontId="20" fillId="0" borderId="0" xfId="1192" applyNumberFormat="1"/>
    <xf numFmtId="165" fontId="20" fillId="0" borderId="0" xfId="1192" applyNumberFormat="1" applyAlignment="1">
      <alignment horizontal="right"/>
    </xf>
    <xf numFmtId="2" fontId="20" fillId="0" borderId="0" xfId="1192" applyNumberFormat="1"/>
    <xf numFmtId="6" fontId="20" fillId="0" borderId="0" xfId="1192" applyNumberFormat="1"/>
    <xf numFmtId="0" fontId="27" fillId="0" borderId="0" xfId="1192" applyFont="1"/>
    <xf numFmtId="0" fontId="50" fillId="0" borderId="0" xfId="1192" applyFont="1"/>
    <xf numFmtId="168" fontId="20" fillId="0" borderId="0" xfId="4495" applyNumberFormat="1" applyFont="1"/>
    <xf numFmtId="0" fontId="27" fillId="0" borderId="0" xfId="1192" applyFont="1" applyAlignment="1">
      <alignment vertical="center"/>
    </xf>
    <xf numFmtId="0" fontId="121" fillId="0" borderId="0" xfId="1192" applyFont="1" applyAlignment="1">
      <alignment horizontal="left"/>
    </xf>
    <xf numFmtId="0" fontId="118" fillId="0" borderId="0" xfId="1192" applyFont="1" applyAlignment="1">
      <alignment horizontal="left"/>
    </xf>
    <xf numFmtId="0" fontId="118" fillId="0" borderId="0" xfId="1192" applyFont="1" applyAlignment="1">
      <alignment horizontal="center"/>
    </xf>
    <xf numFmtId="168" fontId="20" fillId="0" borderId="0" xfId="1192" applyNumberFormat="1" applyAlignment="1">
      <alignment horizontal="center"/>
    </xf>
    <xf numFmtId="9" fontId="20" fillId="0" borderId="0" xfId="1192" applyNumberFormat="1"/>
    <xf numFmtId="0" fontId="20" fillId="0" borderId="0" xfId="1192" applyAlignment="1">
      <alignment horizontal="right"/>
    </xf>
    <xf numFmtId="0" fontId="20" fillId="0" borderId="53" xfId="4495" applyFont="1" applyBorder="1" applyAlignment="1">
      <alignment horizontal="left"/>
    </xf>
    <xf numFmtId="6" fontId="27" fillId="0" borderId="0" xfId="1192" applyNumberFormat="1" applyFont="1" applyAlignment="1">
      <alignment horizontal="right"/>
    </xf>
    <xf numFmtId="165" fontId="20" fillId="0" borderId="0" xfId="4495" applyNumberFormat="1" applyFont="1"/>
    <xf numFmtId="0" fontId="57" fillId="0" borderId="4" xfId="4495" applyFont="1" applyBorder="1"/>
    <xf numFmtId="0" fontId="40" fillId="0" borderId="0" xfId="543" applyFont="1" applyAlignment="1">
      <alignment vertical="center" wrapText="1"/>
    </xf>
    <xf numFmtId="1" fontId="27" fillId="0" borderId="13" xfId="271" applyNumberFormat="1" applyFont="1" applyBorder="1"/>
    <xf numFmtId="1" fontId="29" fillId="0" borderId="13" xfId="271" applyNumberFormat="1" applyBorder="1"/>
    <xf numFmtId="0" fontId="20" fillId="0" borderId="11" xfId="0" applyFont="1" applyBorder="1"/>
    <xf numFmtId="9" fontId="20" fillId="0" borderId="0" xfId="4495" applyNumberFormat="1" applyFont="1"/>
    <xf numFmtId="165" fontId="125" fillId="0" borderId="0" xfId="4496" applyNumberFormat="1" applyFont="1" applyAlignment="1">
      <alignment horizontal="center" vertical="top" wrapText="1"/>
    </xf>
    <xf numFmtId="168" fontId="125" fillId="0" borderId="0" xfId="4496" applyNumberFormat="1" applyFont="1" applyAlignment="1">
      <alignment vertical="top" wrapText="1"/>
    </xf>
    <xf numFmtId="165" fontId="125" fillId="0" borderId="64" xfId="4496" applyNumberFormat="1" applyFont="1" applyBorder="1" applyAlignment="1">
      <alignment horizontal="center" vertical="top" wrapText="1"/>
    </xf>
    <xf numFmtId="165" fontId="125" fillId="0" borderId="53" xfId="4496" applyNumberFormat="1" applyFont="1" applyBorder="1" applyAlignment="1">
      <alignment horizontal="left" vertical="top"/>
    </xf>
    <xf numFmtId="165" fontId="125" fillId="0" borderId="53" xfId="4496" applyNumberFormat="1" applyFont="1" applyBorder="1" applyAlignment="1">
      <alignment horizontal="center" vertical="top" wrapText="1"/>
    </xf>
    <xf numFmtId="168" fontId="125" fillId="0" borderId="0" xfId="4496" applyNumberFormat="1" applyFont="1" applyAlignment="1">
      <alignment vertical="top"/>
    </xf>
    <xf numFmtId="1" fontId="125" fillId="0" borderId="0" xfId="4496" applyNumberFormat="1" applyFont="1" applyAlignment="1">
      <alignment vertical="top" wrapText="1"/>
    </xf>
    <xf numFmtId="164" fontId="28" fillId="0" borderId="0" xfId="4495" applyNumberFormat="1" applyFont="1"/>
    <xf numFmtId="0" fontId="27" fillId="0" borderId="8" xfId="0" applyFont="1" applyBorder="1" applyAlignment="1">
      <alignment horizontal="center" vertical="center" wrapText="1"/>
    </xf>
    <xf numFmtId="0" fontId="27"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3" fillId="0" borderId="50" xfId="1192" applyFont="1" applyBorder="1" applyAlignment="1">
      <alignment horizontal="left"/>
    </xf>
    <xf numFmtId="0" fontId="144" fillId="0" borderId="51" xfId="4495" applyFont="1" applyBorder="1" applyAlignment="1">
      <alignment vertical="top"/>
    </xf>
    <xf numFmtId="0" fontId="143" fillId="0" borderId="51" xfId="4495" applyFont="1" applyBorder="1" applyAlignment="1">
      <alignment vertical="top" wrapText="1"/>
    </xf>
    <xf numFmtId="0" fontId="144" fillId="0" borderId="51" xfId="4495" applyFont="1" applyBorder="1"/>
    <xf numFmtId="0" fontId="144" fillId="0" borderId="53" xfId="1192" applyFont="1" applyBorder="1" applyAlignment="1">
      <alignment horizontal="left"/>
    </xf>
    <xf numFmtId="0" fontId="144" fillId="0" borderId="0" xfId="4495" applyFont="1" applyAlignment="1">
      <alignment vertical="top"/>
    </xf>
    <xf numFmtId="0" fontId="143" fillId="0" borderId="0" xfId="4495" applyFont="1" applyAlignment="1">
      <alignment vertical="top" wrapText="1"/>
    </xf>
    <xf numFmtId="0" fontId="144" fillId="0" borderId="0" xfId="4495" applyFont="1"/>
    <xf numFmtId="0" fontId="143" fillId="0" borderId="53" xfId="1192" applyFont="1" applyBorder="1" applyAlignment="1">
      <alignment horizontal="left"/>
    </xf>
    <xf numFmtId="0" fontId="143" fillId="0" borderId="57" xfId="1192" applyFont="1" applyBorder="1" applyAlignment="1">
      <alignment horizontal="left"/>
    </xf>
    <xf numFmtId="0" fontId="144" fillId="0" borderId="58" xfId="4495" applyFont="1" applyBorder="1" applyAlignment="1">
      <alignment vertical="top"/>
    </xf>
    <xf numFmtId="0" fontId="143" fillId="0" borderId="58" xfId="4495" applyFont="1" applyBorder="1" applyAlignment="1">
      <alignment vertical="top" wrapText="1"/>
    </xf>
    <xf numFmtId="0" fontId="144" fillId="0" borderId="58" xfId="4495" applyFont="1" applyBorder="1"/>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0" fontId="27" fillId="0" borderId="7" xfId="0" applyFont="1" applyBorder="1" applyAlignment="1">
      <alignment horizontal="right"/>
    </xf>
    <xf numFmtId="0" fontId="0" fillId="0" borderId="0" xfId="0" applyAlignment="1" applyProtection="1">
      <alignment horizontal="left" vertical="top" wrapText="1"/>
      <protection locked="0"/>
    </xf>
    <xf numFmtId="0" fontId="20" fillId="0" borderId="9" xfId="0" applyFont="1" applyBorder="1" applyAlignment="1">
      <alignment horizontal="left"/>
    </xf>
    <xf numFmtId="0" fontId="20" fillId="0" borderId="6" xfId="0" applyFont="1" applyBorder="1"/>
    <xf numFmtId="0" fontId="20" fillId="0" borderId="9" xfId="0" applyFont="1" applyBorder="1"/>
    <xf numFmtId="0" fontId="53" fillId="0" borderId="0" xfId="0" applyFont="1" applyAlignment="1">
      <alignment horizontal="center"/>
    </xf>
    <xf numFmtId="0" fontId="26" fillId="0" borderId="0" xfId="0" applyFont="1" applyAlignment="1">
      <alignment horizontal="center" vertical="center" wrapText="1"/>
    </xf>
    <xf numFmtId="0" fontId="35" fillId="0" borderId="0" xfId="0" applyFont="1" applyAlignment="1">
      <alignment horizontal="center"/>
    </xf>
    <xf numFmtId="0" fontId="28" fillId="0" borderId="0" xfId="0" applyFont="1" applyAlignment="1">
      <alignment horizontal="center"/>
    </xf>
    <xf numFmtId="0" fontId="27" fillId="0" borderId="3" xfId="0" applyFont="1" applyBorder="1"/>
    <xf numFmtId="0" fontId="27" fillId="0" borderId="4" xfId="271" applyFont="1" applyBorder="1"/>
    <xf numFmtId="0" fontId="27" fillId="0" borderId="3" xfId="271" applyFont="1" applyBorder="1"/>
    <xf numFmtId="0" fontId="27" fillId="0" borderId="5" xfId="271" applyFont="1" applyBorder="1"/>
    <xf numFmtId="0" fontId="20" fillId="0" borderId="58" xfId="4495" applyFont="1" applyBorder="1" applyAlignment="1">
      <alignment vertical="center" wrapText="1"/>
    </xf>
    <xf numFmtId="0" fontId="20" fillId="0" borderId="59" xfId="4495" applyFont="1" applyBorder="1" applyAlignment="1">
      <alignment vertical="center" wrapText="1"/>
    </xf>
    <xf numFmtId="0" fontId="20" fillId="0" borderId="0" xfId="4495" applyFont="1" applyAlignment="1">
      <alignment horizontal="left" vertical="center" wrapText="1"/>
    </xf>
    <xf numFmtId="0" fontId="27" fillId="0" borderId="5" xfId="0" applyFont="1" applyBorder="1"/>
    <xf numFmtId="168" fontId="25" fillId="43" borderId="0" xfId="0" applyNumberFormat="1" applyFont="1" applyFill="1"/>
    <xf numFmtId="9" fontId="28" fillId="0" borderId="0" xfId="543" applyNumberFormat="1" applyFont="1" applyAlignment="1">
      <alignment horizontal="center"/>
    </xf>
    <xf numFmtId="171" fontId="20" fillId="0" borderId="0" xfId="543" applyNumberFormat="1"/>
    <xf numFmtId="171" fontId="20" fillId="0" borderId="11" xfId="543" applyNumberFormat="1" applyBorder="1"/>
    <xf numFmtId="1" fontId="20" fillId="0" borderId="11" xfId="543" applyNumberFormat="1" applyBorder="1" applyAlignment="1">
      <alignment horizontal="center"/>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47" fillId="0" borderId="8" xfId="543" applyFont="1" applyBorder="1" applyAlignment="1">
      <alignment vertical="center" wrapText="1"/>
    </xf>
    <xf numFmtId="0" fontId="47" fillId="0" borderId="0" xfId="543" applyFont="1" applyAlignment="1">
      <alignment vertical="center" wrapText="1"/>
    </xf>
    <xf numFmtId="0" fontId="47" fillId="0" borderId="12" xfId="543" applyFont="1" applyBorder="1" applyAlignment="1">
      <alignment vertical="center" wrapText="1"/>
    </xf>
    <xf numFmtId="0" fontId="47" fillId="0" borderId="9" xfId="543" applyFont="1" applyBorder="1" applyAlignment="1">
      <alignment vertical="center" wrapText="1"/>
    </xf>
    <xf numFmtId="0" fontId="47" fillId="0" borderId="6" xfId="543" applyFont="1" applyBorder="1" applyAlignment="1">
      <alignment vertical="center" wrapText="1"/>
    </xf>
    <xf numFmtId="0" fontId="47" fillId="0" borderId="10" xfId="543" applyFont="1" applyBorder="1" applyAlignment="1">
      <alignment vertical="center" wrapText="1"/>
    </xf>
    <xf numFmtId="0" fontId="40" fillId="0" borderId="12" xfId="543" applyFont="1" applyBorder="1" applyAlignment="1">
      <alignment horizontal="center" vertical="top"/>
    </xf>
    <xf numFmtId="0" fontId="41" fillId="0" borderId="7" xfId="543" applyFont="1" applyBorder="1"/>
    <xf numFmtId="0" fontId="20" fillId="0" borderId="12" xfId="543" quotePrefix="1" applyBorder="1"/>
    <xf numFmtId="0" fontId="56" fillId="0" borderId="2" xfId="569" applyFont="1" applyBorder="1" applyAlignment="1">
      <alignment vertical="top"/>
    </xf>
    <xf numFmtId="0" fontId="30" fillId="0" borderId="0" xfId="4495" applyFont="1"/>
    <xf numFmtId="0" fontId="20" fillId="0" borderId="0" xfId="4495" applyFont="1" applyAlignment="1">
      <alignment vertical="top" wrapText="1" shrinkToFit="1"/>
    </xf>
    <xf numFmtId="0" fontId="148" fillId="0" borderId="0" xfId="4495" applyFont="1"/>
    <xf numFmtId="164" fontId="20" fillId="0" borderId="0" xfId="1192" applyNumberFormat="1" applyAlignment="1">
      <alignment horizontal="right"/>
    </xf>
    <xf numFmtId="164" fontId="20" fillId="0" borderId="0" xfId="4495" applyNumberFormat="1" applyFont="1" applyAlignment="1">
      <alignment horizontal="right"/>
    </xf>
    <xf numFmtId="0" fontId="20" fillId="0" borderId="0" xfId="4495" applyFont="1" applyAlignment="1">
      <alignment horizontal="left" vertical="top" wrapText="1" shrinkToFit="1"/>
    </xf>
    <xf numFmtId="0" fontId="20" fillId="0" borderId="6" xfId="4495" applyFont="1" applyBorder="1" applyAlignment="1">
      <alignment vertical="top" wrapText="1"/>
    </xf>
    <xf numFmtId="0" fontId="148" fillId="0" borderId="4" xfId="4495" applyFont="1" applyBorder="1"/>
    <xf numFmtId="0" fontId="20" fillId="0" borderId="4" xfId="4495" applyFont="1" applyBorder="1" applyAlignment="1">
      <alignment horizontal="left" vertical="top" wrapText="1" shrinkToFit="1"/>
    </xf>
    <xf numFmtId="0" fontId="30" fillId="0" borderId="0" xfId="4495" applyFont="1" applyAlignment="1">
      <alignment horizontal="left" vertical="top"/>
    </xf>
    <xf numFmtId="0" fontId="20" fillId="0" borderId="0" xfId="4495" applyFont="1" applyAlignment="1">
      <alignment vertical="center" wrapText="1" shrinkToFit="1"/>
    </xf>
    <xf numFmtId="0" fontId="20" fillId="0" borderId="0" xfId="4495" applyFont="1" applyAlignment="1">
      <alignment horizontal="left" vertical="top" shrinkToFit="1"/>
    </xf>
    <xf numFmtId="0" fontId="20" fillId="0" borderId="0" xfId="4495" applyFont="1" applyAlignment="1">
      <alignment horizontal="left" vertical="center" shrinkToFit="1"/>
    </xf>
    <xf numFmtId="0" fontId="30" fillId="0" borderId="4" xfId="4495" applyFont="1" applyBorder="1"/>
    <xf numFmtId="0" fontId="20" fillId="0" borderId="4" xfId="4495" applyFont="1" applyBorder="1" applyAlignment="1">
      <alignment horizontal="left" vertical="top" shrinkToFit="1"/>
    </xf>
    <xf numFmtId="0" fontId="20" fillId="0" borderId="0" xfId="4495" applyFont="1" applyAlignment="1">
      <alignment vertical="center"/>
    </xf>
    <xf numFmtId="0" fontId="26" fillId="0" borderId="0" xfId="4495" applyFont="1"/>
    <xf numFmtId="0" fontId="30" fillId="0" borderId="0" xfId="4495" applyFont="1" applyAlignment="1">
      <alignment horizontal="center"/>
    </xf>
    <xf numFmtId="0" fontId="20" fillId="0" borderId="4" xfId="4495" applyFont="1" applyBorder="1" applyAlignment="1">
      <alignment horizontal="left" vertical="top" wrapText="1"/>
    </xf>
    <xf numFmtId="44" fontId="20" fillId="0" borderId="0" xfId="707" applyFont="1" applyFill="1" applyBorder="1" applyAlignment="1" applyProtection="1">
      <alignment horizontal="left" vertical="top" wrapText="1"/>
    </xf>
    <xf numFmtId="44" fontId="20" fillId="0" borderId="4" xfId="707" applyFont="1" applyFill="1" applyBorder="1" applyAlignment="1" applyProtection="1">
      <alignment horizontal="left" vertical="top" wrapText="1"/>
    </xf>
    <xf numFmtId="164" fontId="38" fillId="0" borderId="0" xfId="4495" applyNumberFormat="1" applyFont="1" applyAlignment="1">
      <alignment horizontal="left"/>
    </xf>
    <xf numFmtId="0" fontId="30" fillId="0" borderId="0" xfId="4495" applyFont="1" applyAlignment="1">
      <alignment horizontal="left"/>
    </xf>
    <xf numFmtId="0" fontId="20" fillId="0" borderId="4" xfId="4495" applyFont="1" applyBorder="1" applyAlignment="1">
      <alignment vertical="top" wrapText="1"/>
    </xf>
    <xf numFmtId="0" fontId="30" fillId="0" borderId="4" xfId="4495" applyFont="1" applyBorder="1" applyAlignment="1">
      <alignment horizontal="left" vertical="top"/>
    </xf>
    <xf numFmtId="0" fontId="20" fillId="0" borderId="0" xfId="4495" applyFont="1" applyAlignment="1">
      <alignment horizontal="left" vertical="center" wrapText="1" shrinkToFit="1"/>
    </xf>
    <xf numFmtId="0" fontId="20" fillId="0" borderId="6" xfId="4495" applyFont="1" applyBorder="1" applyAlignment="1">
      <alignment horizontal="left" vertical="top" wrapText="1"/>
    </xf>
    <xf numFmtId="2" fontId="121" fillId="0" borderId="0" xfId="0" applyNumberFormat="1" applyFont="1" applyAlignment="1">
      <alignment horizontal="center"/>
    </xf>
    <xf numFmtId="9" fontId="20" fillId="0" borderId="0" xfId="4494" applyFont="1" applyAlignment="1">
      <alignment horizontal="center"/>
    </xf>
    <xf numFmtId="3" fontId="20" fillId="0" borderId="0" xfId="0" applyNumberFormat="1" applyFont="1"/>
    <xf numFmtId="10" fontId="20" fillId="0" borderId="0" xfId="0" applyNumberFormat="1" applyFont="1" applyAlignment="1">
      <alignment horizontal="center"/>
    </xf>
    <xf numFmtId="168" fontId="20" fillId="0" borderId="0" xfId="0" applyNumberFormat="1" applyFont="1"/>
    <xf numFmtId="172" fontId="20" fillId="0" borderId="11" xfId="0" applyNumberFormat="1" applyFont="1" applyBorder="1" applyAlignment="1">
      <alignment horizontal="center"/>
    </xf>
    <xf numFmtId="168" fontId="20" fillId="5" borderId="0" xfId="0" applyNumberFormat="1" applyFont="1" applyFill="1"/>
    <xf numFmtId="3" fontId="20" fillId="5" borderId="0" xfId="0" applyNumberFormat="1" applyFont="1" applyFill="1"/>
    <xf numFmtId="0" fontId="20" fillId="5" borderId="0" xfId="0" applyFont="1" applyFill="1"/>
    <xf numFmtId="3" fontId="20" fillId="5" borderId="6" xfId="0" applyNumberFormat="1" applyFont="1" applyFill="1" applyBorder="1"/>
    <xf numFmtId="3" fontId="20" fillId="0" borderId="6" xfId="0" applyNumberFormat="1" applyFont="1" applyBorder="1"/>
    <xf numFmtId="168" fontId="20" fillId="0" borderId="0" xfId="0" applyNumberFormat="1" applyFont="1" applyAlignment="1">
      <alignment horizontal="center"/>
    </xf>
    <xf numFmtId="3" fontId="20" fillId="0" borderId="0" xfId="0" applyNumberFormat="1" applyFont="1" applyAlignment="1">
      <alignment horizontal="center"/>
    </xf>
    <xf numFmtId="0" fontId="20" fillId="0" borderId="50" xfId="4495" applyFont="1" applyBorder="1" applyAlignment="1">
      <alignment vertical="center"/>
    </xf>
    <xf numFmtId="0" fontId="20" fillId="0" borderId="51" xfId="4495" applyFont="1" applyBorder="1" applyAlignment="1">
      <alignment vertical="center"/>
    </xf>
    <xf numFmtId="0" fontId="20" fillId="0" borderId="52" xfId="4495" applyFont="1" applyBorder="1" applyAlignment="1">
      <alignment vertical="center"/>
    </xf>
    <xf numFmtId="0" fontId="20" fillId="0" borderId="54" xfId="4495" applyFont="1" applyBorder="1" applyAlignment="1">
      <alignment vertical="center" wrapText="1"/>
    </xf>
    <xf numFmtId="0" fontId="20" fillId="0" borderId="53" xfId="4495" applyFont="1" applyBorder="1" applyAlignment="1">
      <alignment vertical="top" wrapText="1"/>
    </xf>
    <xf numFmtId="9" fontId="20" fillId="0" borderId="0" xfId="543" applyNumberFormat="1" applyAlignment="1">
      <alignment horizontal="center"/>
    </xf>
    <xf numFmtId="0" fontId="52" fillId="0" borderId="0" xfId="4496" applyFont="1"/>
    <xf numFmtId="168" fontId="56" fillId="5" borderId="11" xfId="0" applyNumberFormat="1" applyFont="1" applyFill="1" applyBorder="1" applyAlignment="1" applyProtection="1">
      <alignment vertical="top" wrapText="1"/>
      <protection locked="0"/>
    </xf>
    <xf numFmtId="0" fontId="20" fillId="0" borderId="0" xfId="0" applyFont="1" applyAlignment="1">
      <alignment horizontal="left" wrapText="1"/>
    </xf>
    <xf numFmtId="4" fontId="38" fillId="0" borderId="0" xfId="0" applyNumberFormat="1" applyFont="1" applyAlignment="1">
      <alignment horizontal="left"/>
    </xf>
    <xf numFmtId="4" fontId="20" fillId="0" borderId="0" xfId="0" applyNumberFormat="1" applyFont="1" applyAlignment="1">
      <alignment horizontal="left" vertical="top" wrapText="1"/>
    </xf>
    <xf numFmtId="0" fontId="27" fillId="0" borderId="4" xfId="0" applyFont="1" applyBorder="1" applyAlignment="1">
      <alignment horizontal="left"/>
    </xf>
    <xf numFmtId="4" fontId="20" fillId="0" borderId="0" xfId="0" applyNumberFormat="1" applyFont="1" applyAlignment="1">
      <alignment horizontal="left"/>
    </xf>
    <xf numFmtId="43" fontId="54" fillId="0" borderId="0" xfId="4503" applyFont="1" applyAlignment="1" applyProtection="1">
      <alignment horizontal="center"/>
    </xf>
    <xf numFmtId="43" fontId="20" fillId="0" borderId="0" xfId="4503" applyFont="1" applyAlignment="1" applyProtection="1">
      <alignment horizontal="center"/>
    </xf>
    <xf numFmtId="43" fontId="20" fillId="0" borderId="0" xfId="4503" applyFont="1" applyProtection="1"/>
    <xf numFmtId="49" fontId="20" fillId="0" borderId="0" xfId="0" applyNumberFormat="1" applyFont="1"/>
    <xf numFmtId="49" fontId="20" fillId="0" borderId="0" xfId="0" applyNumberFormat="1" applyFont="1" applyAlignment="1">
      <alignment horizontal="center"/>
    </xf>
    <xf numFmtId="4" fontId="20" fillId="0" borderId="0" xfId="0" applyNumberFormat="1" applyFont="1" applyAlignment="1">
      <alignment vertical="top" wrapText="1"/>
    </xf>
    <xf numFmtId="0" fontId="20" fillId="0" borderId="0" xfId="0" quotePrefix="1" applyFont="1"/>
    <xf numFmtId="0" fontId="50" fillId="0" borderId="0" xfId="0" applyFont="1" applyAlignment="1">
      <alignment horizontal="left"/>
    </xf>
    <xf numFmtId="0" fontId="20" fillId="0" borderId="4" xfId="0" applyFont="1" applyBorder="1" applyAlignment="1">
      <alignment horizontal="left"/>
    </xf>
    <xf numFmtId="0" fontId="20" fillId="0" borderId="0" xfId="0" quotePrefix="1" applyFont="1" applyAlignment="1">
      <alignment horizontal="left"/>
    </xf>
    <xf numFmtId="0" fontId="20" fillId="0" borderId="0" xfId="0" quotePrefix="1" applyFont="1" applyAlignment="1">
      <alignment horizontal="left" vertical="top"/>
    </xf>
    <xf numFmtId="0" fontId="50" fillId="0" borderId="0" xfId="1192" applyFont="1" applyAlignment="1">
      <alignment horizontal="left"/>
    </xf>
    <xf numFmtId="0" fontId="54" fillId="0" borderId="0" xfId="0" applyFont="1" applyAlignment="1">
      <alignment horizontal="center" vertical="center"/>
    </xf>
    <xf numFmtId="49" fontId="27" fillId="0" borderId="0" xfId="0" applyNumberFormat="1" applyFont="1" applyAlignment="1">
      <alignment horizontal="center" vertical="center"/>
    </xf>
    <xf numFmtId="49" fontId="20" fillId="0" borderId="0" xfId="0" applyNumberFormat="1" applyFont="1" applyAlignment="1">
      <alignment vertical="center"/>
    </xf>
    <xf numFmtId="4" fontId="20" fillId="0" borderId="0" xfId="0" applyNumberFormat="1" applyFont="1" applyAlignment="1">
      <alignment horizontal="center"/>
    </xf>
    <xf numFmtId="4" fontId="20" fillId="0" borderId="0" xfId="0" applyNumberFormat="1" applyFont="1"/>
    <xf numFmtId="10" fontId="20" fillId="0" borderId="0" xfId="4495" applyNumberFormat="1" applyFont="1"/>
    <xf numFmtId="10" fontId="125" fillId="0" borderId="0" xfId="4496" applyNumberFormat="1" applyFont="1" applyAlignment="1">
      <alignment horizontal="center" vertical="top" wrapText="1"/>
    </xf>
    <xf numFmtId="10" fontId="125" fillId="0" borderId="64" xfId="4496" applyNumberFormat="1" applyFont="1" applyBorder="1" applyAlignment="1">
      <alignment horizontal="center" vertical="top" wrapText="1"/>
    </xf>
    <xf numFmtId="10" fontId="125"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0" fillId="0" borderId="0" xfId="1192" quotePrefix="1" applyNumberFormat="1" applyAlignment="1">
      <alignment horizontal="center"/>
    </xf>
    <xf numFmtId="0" fontId="125" fillId="0" borderId="0" xfId="4495" applyFont="1"/>
    <xf numFmtId="10" fontId="125" fillId="0" borderId="0" xfId="4495" applyNumberFormat="1" applyFont="1"/>
    <xf numFmtId="172" fontId="20" fillId="0" borderId="0" xfId="4495" applyNumberFormat="1" applyFont="1"/>
    <xf numFmtId="0" fontId="43" fillId="0" borderId="0" xfId="0" applyFont="1" applyAlignment="1">
      <alignment horizontal="center"/>
    </xf>
    <xf numFmtId="0" fontId="39" fillId="0" borderId="0" xfId="0" applyFont="1" applyAlignment="1">
      <alignment horizontal="left"/>
    </xf>
    <xf numFmtId="0" fontId="0" fillId="0" borderId="10" xfId="0" applyBorder="1" applyAlignment="1">
      <alignment horizontal="left"/>
    </xf>
    <xf numFmtId="1" fontId="20" fillId="0" borderId="0" xfId="1192" applyNumberFormat="1" applyAlignment="1">
      <alignment horizontal="center"/>
    </xf>
    <xf numFmtId="0" fontId="123" fillId="0" borderId="63" xfId="4495" applyBorder="1"/>
    <xf numFmtId="0" fontId="56" fillId="0" borderId="0" xfId="271" applyFont="1" applyAlignment="1">
      <alignment vertical="top"/>
    </xf>
    <xf numFmtId="0" fontId="27" fillId="0" borderId="11" xfId="0" applyFont="1" applyBorder="1" applyAlignment="1">
      <alignment horizontal="right" vertical="top" wrapText="1"/>
    </xf>
    <xf numFmtId="0" fontId="29" fillId="0" borderId="11" xfId="271" applyBorder="1" applyAlignment="1" applyProtection="1">
      <alignment horizontal="right" vertical="top" wrapText="1"/>
      <protection locked="0"/>
    </xf>
    <xf numFmtId="0" fontId="20" fillId="0" borderId="54" xfId="4495" applyFont="1" applyBorder="1" applyAlignment="1">
      <alignment vertical="top"/>
    </xf>
    <xf numFmtId="9" fontId="29" fillId="0" borderId="0" xfId="0" applyNumberFormat="1" applyFont="1"/>
    <xf numFmtId="0" fontId="20" fillId="0" borderId="16" xfId="569" applyBorder="1" applyAlignment="1">
      <alignment horizontal="center"/>
    </xf>
    <xf numFmtId="164" fontId="20" fillId="0" borderId="57" xfId="4495" applyNumberFormat="1" applyFont="1" applyBorder="1" applyAlignment="1">
      <alignment vertical="top" wrapText="1"/>
    </xf>
    <xf numFmtId="164" fontId="20" fillId="0" borderId="58" xfId="4495" applyNumberFormat="1" applyFont="1" applyBorder="1" applyAlignment="1">
      <alignment vertical="top" wrapText="1"/>
    </xf>
    <xf numFmtId="164" fontId="20" fillId="0" borderId="59" xfId="4495" applyNumberFormat="1" applyFont="1" applyBorder="1" applyAlignment="1">
      <alignment vertical="top" wrapText="1"/>
    </xf>
    <xf numFmtId="0" fontId="27" fillId="0" borderId="0" xfId="1192" applyFont="1" applyAlignment="1">
      <alignment horizontal="left" vertical="top" wrapText="1"/>
    </xf>
    <xf numFmtId="0" fontId="20" fillId="0" borderId="16" xfId="569" applyBorder="1"/>
    <xf numFmtId="0" fontId="20" fillId="0" borderId="4" xfId="569" applyBorder="1"/>
    <xf numFmtId="0" fontId="27" fillId="0" borderId="4" xfId="569" applyFont="1" applyBorder="1"/>
    <xf numFmtId="49" fontId="20" fillId="0" borderId="4" xfId="569" applyNumberFormat="1" applyBorder="1"/>
    <xf numFmtId="0" fontId="151" fillId="0" borderId="0" xfId="0" applyFont="1"/>
    <xf numFmtId="0" fontId="20" fillId="0" borderId="0" xfId="0" applyFont="1" applyAlignment="1">
      <alignment horizontal="right"/>
    </xf>
    <xf numFmtId="1" fontId="20" fillId="0" borderId="0" xfId="0" applyNumberFormat="1" applyFont="1" applyAlignment="1">
      <alignment horizontal="center"/>
    </xf>
    <xf numFmtId="0" fontId="27" fillId="0" borderId="0" xfId="0" applyFont="1" applyAlignment="1">
      <alignment horizontal="left" vertical="center"/>
    </xf>
    <xf numFmtId="0" fontId="20" fillId="0" borderId="0" xfId="0" applyFont="1" applyAlignment="1">
      <alignment horizontal="left" vertical="center"/>
    </xf>
    <xf numFmtId="0" fontId="27" fillId="0" borderId="0" xfId="569" applyFont="1" applyAlignment="1">
      <alignment vertical="top"/>
    </xf>
    <xf numFmtId="0" fontId="21" fillId="0" borderId="0" xfId="244" applyAlignment="1"/>
    <xf numFmtId="0" fontId="27" fillId="0" borderId="0" xfId="0" applyFont="1" applyAlignment="1">
      <alignment vertical="top" wrapText="1"/>
    </xf>
    <xf numFmtId="49" fontId="27" fillId="0" borderId="0" xfId="0" applyNumberFormat="1" applyFont="1"/>
    <xf numFmtId="49" fontId="27" fillId="0" borderId="0" xfId="0" applyNumberFormat="1" applyFont="1" applyAlignment="1">
      <alignment vertical="top"/>
    </xf>
    <xf numFmtId="0" fontId="43" fillId="0" borderId="11" xfId="0" applyFont="1" applyBorder="1"/>
    <xf numFmtId="175" fontId="20" fillId="0" borderId="0" xfId="543" applyNumberFormat="1" applyAlignment="1">
      <alignment vertical="center"/>
    </xf>
    <xf numFmtId="0" fontId="101" fillId="43" borderId="6" xfId="4496" applyFont="1" applyFill="1" applyBorder="1" applyAlignment="1" applyProtection="1">
      <alignment horizontal="center"/>
      <protection locked="0"/>
    </xf>
    <xf numFmtId="0" fontId="101" fillId="0" borderId="0" xfId="4496" applyFont="1"/>
    <xf numFmtId="0" fontId="101" fillId="0" borderId="0" xfId="4496" applyFont="1" applyAlignment="1">
      <alignment wrapText="1"/>
    </xf>
    <xf numFmtId="0" fontId="139" fillId="0" borderId="0" xfId="4496" applyFont="1"/>
    <xf numFmtId="181" fontId="140" fillId="0" borderId="0" xfId="4498" applyNumberFormat="1" applyFont="1" applyBorder="1" applyProtection="1"/>
    <xf numFmtId="0" fontId="141" fillId="0" borderId="0" xfId="4496" applyFont="1" applyAlignment="1">
      <alignment vertical="center" wrapText="1"/>
    </xf>
    <xf numFmtId="49" fontId="101" fillId="0" borderId="0" xfId="4496" applyNumberFormat="1" applyFont="1" applyAlignment="1">
      <alignment horizontal="center"/>
    </xf>
    <xf numFmtId="182" fontId="101" fillId="0" borderId="6" xfId="4496" applyNumberFormat="1" applyFont="1" applyBorder="1"/>
    <xf numFmtId="0" fontId="101" fillId="0" borderId="0" xfId="4496" applyFont="1" applyAlignment="1">
      <alignment vertical="center"/>
    </xf>
    <xf numFmtId="182" fontId="101" fillId="0" borderId="0" xfId="4496" applyNumberFormat="1" applyFont="1" applyAlignment="1">
      <alignment vertical="center"/>
    </xf>
    <xf numFmtId="175" fontId="101" fillId="0" borderId="0" xfId="4499" applyNumberFormat="1" applyFont="1" applyFill="1" applyBorder="1" applyAlignment="1" applyProtection="1">
      <alignment horizontal="left" vertical="center"/>
    </xf>
    <xf numFmtId="9" fontId="101" fillId="0" borderId="0" xfId="4499" applyFont="1" applyFill="1" applyBorder="1" applyAlignment="1" applyProtection="1">
      <alignment vertical="center"/>
    </xf>
    <xf numFmtId="183" fontId="101" fillId="0" borderId="0" xfId="4496" applyNumberFormat="1" applyFont="1" applyAlignment="1">
      <alignment vertical="center" wrapText="1"/>
    </xf>
    <xf numFmtId="9" fontId="101" fillId="0" borderId="0" xfId="4499" applyFont="1" applyBorder="1" applyAlignment="1" applyProtection="1">
      <alignment vertical="center"/>
    </xf>
    <xf numFmtId="164" fontId="101" fillId="0" borderId="0" xfId="4496" applyNumberFormat="1" applyFont="1" applyAlignment="1">
      <alignment vertical="center" wrapText="1"/>
    </xf>
    <xf numFmtId="0" fontId="101" fillId="0" borderId="0" xfId="4496" applyFont="1" applyAlignment="1">
      <alignment horizontal="center" vertical="center"/>
    </xf>
    <xf numFmtId="182" fontId="101" fillId="0" borderId="11" xfId="8721" applyNumberFormat="1" applyFont="1" applyBorder="1" applyProtection="1"/>
    <xf numFmtId="182" fontId="101" fillId="0" borderId="11" xfId="4496" applyNumberFormat="1" applyFont="1" applyBorder="1"/>
    <xf numFmtId="164" fontId="101" fillId="0" borderId="0" xfId="4496" applyNumberFormat="1" applyFont="1" applyAlignment="1">
      <alignment wrapText="1"/>
    </xf>
    <xf numFmtId="49" fontId="101" fillId="0" borderId="0" xfId="4496" applyNumberFormat="1" applyFont="1" applyAlignment="1">
      <alignment horizontal="left"/>
    </xf>
    <xf numFmtId="0" fontId="142" fillId="0" borderId="0" xfId="4496" applyFont="1"/>
    <xf numFmtId="9" fontId="101" fillId="0" borderId="11" xfId="4494" applyFont="1" applyFill="1" applyBorder="1" applyAlignment="1" applyProtection="1">
      <alignment horizontal="right"/>
    </xf>
    <xf numFmtId="1" fontId="101" fillId="0" borderId="0" xfId="4496" applyNumberFormat="1" applyFont="1"/>
    <xf numFmtId="0" fontId="139" fillId="45" borderId="3" xfId="4496" applyFont="1" applyFill="1" applyBorder="1" applyAlignment="1">
      <alignment horizontal="left" indent="1"/>
    </xf>
    <xf numFmtId="0" fontId="101" fillId="45" borderId="4" xfId="4496" applyFont="1" applyFill="1" applyBorder="1"/>
    <xf numFmtId="2" fontId="101" fillId="45" borderId="5" xfId="4496" applyNumberFormat="1" applyFont="1" applyFill="1" applyBorder="1"/>
    <xf numFmtId="181" fontId="101" fillId="0" borderId="0" xfId="4496" applyNumberFormat="1" applyFont="1"/>
    <xf numFmtId="165" fontId="140" fillId="0" borderId="0" xfId="4499" applyNumberFormat="1" applyFont="1" applyFill="1" applyBorder="1" applyProtection="1"/>
    <xf numFmtId="9" fontId="101" fillId="0" borderId="0" xfId="4494" applyFont="1" applyFill="1" applyProtection="1"/>
    <xf numFmtId="0" fontId="101" fillId="0" borderId="11" xfId="4496" applyFont="1" applyBorder="1" applyAlignment="1">
      <alignment horizontal="center"/>
    </xf>
    <xf numFmtId="2" fontId="101" fillId="0" borderId="11" xfId="4496" applyNumberFormat="1" applyFont="1" applyBorder="1" applyAlignment="1">
      <alignment horizontal="center"/>
    </xf>
    <xf numFmtId="0" fontId="101" fillId="0" borderId="0" xfId="4496" applyFont="1" applyAlignment="1">
      <alignment vertical="top" wrapText="1"/>
    </xf>
    <xf numFmtId="0" fontId="101" fillId="0" borderId="11" xfId="4496" applyFont="1" applyBorder="1" applyAlignment="1">
      <alignment horizontal="center" vertical="top" wrapText="1"/>
    </xf>
    <xf numFmtId="182" fontId="101" fillId="0" borderId="0" xfId="8721" applyNumberFormat="1" applyFont="1" applyBorder="1" applyProtection="1"/>
    <xf numFmtId="0" fontId="101" fillId="0" borderId="0" xfId="4496" applyFont="1" applyAlignment="1">
      <alignment horizontal="left" indent="1"/>
    </xf>
    <xf numFmtId="182" fontId="101" fillId="0" borderId="0" xfId="4496" applyNumberFormat="1" applyFont="1"/>
    <xf numFmtId="184" fontId="101" fillId="0" borderId="0" xfId="4496" applyNumberFormat="1" applyFont="1"/>
    <xf numFmtId="0" fontId="101" fillId="0" borderId="0" xfId="4496" applyFont="1" applyAlignment="1">
      <alignment horizontal="left"/>
    </xf>
    <xf numFmtId="0" fontId="101" fillId="0" borderId="0" xfId="4496" applyFont="1" applyAlignment="1">
      <alignment horizontal="center"/>
    </xf>
    <xf numFmtId="3" fontId="25" fillId="0" borderId="11" xfId="271" applyNumberFormat="1" applyFont="1" applyBorder="1" applyAlignment="1">
      <alignment horizontal="center"/>
    </xf>
    <xf numFmtId="3" fontId="25" fillId="43" borderId="11" xfId="271" applyNumberFormat="1" applyFont="1" applyFill="1" applyBorder="1" applyProtection="1">
      <protection locked="0"/>
    </xf>
    <xf numFmtId="0" fontId="101" fillId="0" borderId="0" xfId="4496" applyFont="1" applyAlignment="1">
      <alignment horizontal="right"/>
    </xf>
    <xf numFmtId="168" fontId="29" fillId="0" borderId="0" xfId="0" applyNumberFormat="1" applyFont="1"/>
    <xf numFmtId="0" fontId="101" fillId="0" borderId="15" xfId="4496" applyFont="1" applyBorder="1" applyAlignment="1">
      <alignment horizontal="center" vertical="top" wrapText="1"/>
    </xf>
    <xf numFmtId="2" fontId="101" fillId="0" borderId="15" xfId="4496" applyNumberFormat="1" applyFont="1" applyBorder="1" applyAlignment="1">
      <alignment horizontal="center"/>
    </xf>
    <xf numFmtId="0" fontId="101" fillId="0" borderId="15" xfId="4496" applyFont="1" applyBorder="1" applyAlignment="1">
      <alignment horizontal="center"/>
    </xf>
    <xf numFmtId="0" fontId="139" fillId="0" borderId="68" xfId="4496" applyFont="1" applyBorder="1" applyAlignment="1">
      <alignment horizontal="center" vertical="top" wrapText="1"/>
    </xf>
    <xf numFmtId="0" fontId="139" fillId="0" borderId="68" xfId="4496" applyFont="1" applyBorder="1" applyAlignment="1">
      <alignment horizontal="center"/>
    </xf>
    <xf numFmtId="0" fontId="153" fillId="0" borderId="0" xfId="4496" applyFont="1" applyAlignment="1">
      <alignment horizontal="right" vertical="center"/>
    </xf>
    <xf numFmtId="175" fontId="101" fillId="0" borderId="0" xfId="4499" applyNumberFormat="1" applyFont="1" applyFill="1" applyBorder="1" applyAlignment="1" applyProtection="1">
      <alignment horizontal="right" vertical="center"/>
    </xf>
    <xf numFmtId="0" fontId="101" fillId="0" borderId="66" xfId="4496" applyFont="1" applyBorder="1" applyAlignment="1">
      <alignment vertical="center"/>
    </xf>
    <xf numFmtId="0" fontId="101" fillId="0" borderId="41" xfId="4496" applyFont="1" applyBorder="1" applyAlignment="1">
      <alignment vertical="center"/>
    </xf>
    <xf numFmtId="182" fontId="101" fillId="0" borderId="73" xfId="4496" applyNumberFormat="1" applyFont="1" applyBorder="1" applyAlignment="1">
      <alignment vertical="center"/>
    </xf>
    <xf numFmtId="175" fontId="101" fillId="0" borderId="42" xfId="4499" applyNumberFormat="1" applyFont="1" applyFill="1" applyBorder="1" applyAlignment="1" applyProtection="1">
      <alignment horizontal="left" vertical="center"/>
    </xf>
    <xf numFmtId="0" fontId="101" fillId="0" borderId="42" xfId="4496" applyFont="1" applyBorder="1" applyAlignment="1">
      <alignment vertical="center"/>
    </xf>
    <xf numFmtId="0" fontId="101" fillId="0" borderId="44" xfId="4496" applyFont="1" applyBorder="1" applyAlignment="1">
      <alignment vertical="center"/>
    </xf>
    <xf numFmtId="49" fontId="101" fillId="0" borderId="0" xfId="4496" applyNumberFormat="1" applyFont="1" applyAlignment="1">
      <alignment horizontal="center" vertical="center"/>
    </xf>
    <xf numFmtId="0" fontId="101" fillId="0" borderId="65" xfId="4496" applyFont="1" applyBorder="1" applyAlignment="1">
      <alignment vertical="center"/>
    </xf>
    <xf numFmtId="0" fontId="101" fillId="0" borderId="29" xfId="4496" applyFont="1" applyBorder="1" applyAlignment="1">
      <alignment vertical="center"/>
    </xf>
    <xf numFmtId="0" fontId="101" fillId="0" borderId="29" xfId="4496" applyFont="1" applyBorder="1" applyAlignment="1">
      <alignment horizontal="right" vertical="center"/>
    </xf>
    <xf numFmtId="5" fontId="101" fillId="0" borderId="29" xfId="4496" applyNumberFormat="1" applyFont="1" applyBorder="1" applyAlignment="1">
      <alignment vertical="center"/>
    </xf>
    <xf numFmtId="0" fontId="101" fillId="0" borderId="31" xfId="4496" applyFont="1" applyBorder="1" applyAlignment="1">
      <alignment vertical="center"/>
    </xf>
    <xf numFmtId="175" fontId="139" fillId="0" borderId="42" xfId="4494" applyNumberFormat="1" applyFont="1" applyFill="1" applyBorder="1" applyAlignment="1" applyProtection="1">
      <alignment horizontal="center" vertical="center"/>
    </xf>
    <xf numFmtId="0" fontId="139" fillId="0" borderId="29" xfId="4496" applyFont="1" applyBorder="1" applyAlignment="1">
      <alignment vertical="center"/>
    </xf>
    <xf numFmtId="0" fontId="139" fillId="0" borderId="0" xfId="4496" applyFont="1" applyAlignment="1">
      <alignment vertical="center"/>
    </xf>
    <xf numFmtId="0" fontId="139" fillId="0" borderId="42" xfId="4496" applyFont="1" applyBorder="1" applyAlignment="1">
      <alignment vertical="center"/>
    </xf>
    <xf numFmtId="9" fontId="139" fillId="0" borderId="42" xfId="4499" applyFont="1" applyFill="1" applyBorder="1" applyAlignment="1" applyProtection="1">
      <alignment vertical="center"/>
    </xf>
    <xf numFmtId="182" fontId="139" fillId="0" borderId="68" xfId="8721" applyNumberFormat="1" applyFont="1" applyBorder="1" applyProtection="1"/>
    <xf numFmtId="182" fontId="139" fillId="0" borderId="68" xfId="4496" applyNumberFormat="1" applyFont="1" applyBorder="1"/>
    <xf numFmtId="0" fontId="153" fillId="0" borderId="0" xfId="4496" applyFont="1" applyAlignment="1">
      <alignment horizontal="right"/>
    </xf>
    <xf numFmtId="0" fontId="101" fillId="0" borderId="0" xfId="4496" applyFont="1" applyAlignment="1">
      <alignment horizontal="right" vertical="top" wrapText="1" indent="1"/>
    </xf>
    <xf numFmtId="182" fontId="101" fillId="0" borderId="6" xfId="8721" applyNumberFormat="1" applyFont="1" applyBorder="1" applyAlignment="1" applyProtection="1">
      <alignment horizontal="center"/>
    </xf>
    <xf numFmtId="0" fontId="101" fillId="0" borderId="0" xfId="4496" applyFont="1" applyAlignment="1">
      <alignment horizontal="right" indent="1"/>
    </xf>
    <xf numFmtId="0" fontId="101" fillId="0" borderId="0" xfId="4496" applyFont="1" applyAlignment="1">
      <alignment horizontal="right" vertical="top"/>
    </xf>
    <xf numFmtId="0" fontId="139" fillId="0" borderId="0" xfId="4496" applyFont="1" applyAlignment="1">
      <alignment horizontal="right"/>
    </xf>
    <xf numFmtId="182" fontId="139" fillId="0" borderId="0" xfId="8721" applyNumberFormat="1" applyFont="1" applyBorder="1" applyAlignment="1" applyProtection="1">
      <alignment horizontal="center"/>
    </xf>
    <xf numFmtId="10" fontId="101" fillId="0" borderId="0" xfId="4494" applyNumberFormat="1" applyFont="1" applyBorder="1" applyAlignment="1" applyProtection="1">
      <alignment horizontal="center"/>
    </xf>
    <xf numFmtId="184" fontId="101" fillId="0" borderId="6" xfId="4496" applyNumberFormat="1" applyFont="1" applyBorder="1"/>
    <xf numFmtId="0" fontId="139" fillId="0" borderId="0" xfId="4496" applyFont="1" applyAlignment="1">
      <alignment horizontal="right" vertical="top"/>
    </xf>
    <xf numFmtId="182" fontId="139" fillId="0" borderId="0" xfId="4496" applyNumberFormat="1" applyFont="1"/>
    <xf numFmtId="182" fontId="101" fillId="0" borderId="6" xfId="8721" applyNumberFormat="1" applyFont="1" applyBorder="1" applyProtection="1"/>
    <xf numFmtId="184" fontId="101" fillId="0" borderId="0" xfId="4496" applyNumberFormat="1" applyFont="1" applyAlignment="1">
      <alignment horizontal="center"/>
    </xf>
    <xf numFmtId="0" fontId="101" fillId="0" borderId="6" xfId="4496" applyFont="1" applyBorder="1" applyAlignment="1">
      <alignment horizontal="right" vertical="top" wrapText="1" indent="1"/>
    </xf>
    <xf numFmtId="0" fontId="101" fillId="0" borderId="67" xfId="4496" applyFont="1" applyBorder="1" applyAlignment="1">
      <alignment horizontal="right" indent="1"/>
    </xf>
    <xf numFmtId="0" fontId="101" fillId="0" borderId="72" xfId="4496" applyFont="1" applyBorder="1" applyAlignment="1">
      <alignment horizontal="right" indent="1"/>
    </xf>
    <xf numFmtId="0" fontId="101" fillId="0" borderId="72" xfId="4496" quotePrefix="1" applyFont="1" applyBorder="1" applyAlignment="1">
      <alignment horizontal="right" indent="1"/>
    </xf>
    <xf numFmtId="0" fontId="101" fillId="0" borderId="69" xfId="4496" applyFont="1" applyBorder="1" applyAlignment="1">
      <alignment horizontal="right" indent="1"/>
    </xf>
    <xf numFmtId="182" fontId="101" fillId="0" borderId="71" xfId="4496" applyNumberFormat="1" applyFont="1" applyBorder="1"/>
    <xf numFmtId="182" fontId="101" fillId="0" borderId="76" xfId="4496" applyNumberFormat="1" applyFont="1" applyBorder="1"/>
    <xf numFmtId="182" fontId="101" fillId="0" borderId="77" xfId="4496" applyNumberFormat="1" applyFont="1" applyBorder="1"/>
    <xf numFmtId="175" fontId="27" fillId="0" borderId="0" xfId="543" applyNumberFormat="1" applyFont="1" applyAlignment="1">
      <alignment vertical="center"/>
    </xf>
    <xf numFmtId="10" fontId="139" fillId="0" borderId="0" xfId="4494" applyNumberFormat="1" applyFont="1" applyProtection="1"/>
    <xf numFmtId="0" fontId="27" fillId="0" borderId="0" xfId="1192" applyFont="1" applyAlignment="1">
      <alignment horizontal="left" indent="1"/>
    </xf>
    <xf numFmtId="168" fontId="101" fillId="0" borderId="11" xfId="4499" applyNumberFormat="1" applyFont="1" applyFill="1" applyBorder="1" applyAlignment="1" applyProtection="1">
      <alignment horizontal="left" vertical="center" indent="1"/>
    </xf>
    <xf numFmtId="168" fontId="139" fillId="0" borderId="68" xfId="4499" applyNumberFormat="1" applyFont="1" applyFill="1" applyBorder="1" applyAlignment="1" applyProtection="1">
      <alignment horizontal="left" vertical="center" indent="1"/>
    </xf>
    <xf numFmtId="182" fontId="101" fillId="0" borderId="13" xfId="4496" applyNumberFormat="1" applyFont="1" applyBorder="1"/>
    <xf numFmtId="182" fontId="101" fillId="0" borderId="70" xfId="4496" applyNumberFormat="1" applyFont="1" applyBorder="1"/>
    <xf numFmtId="0" fontId="38" fillId="0" borderId="0" xfId="4495" applyFont="1" applyAlignment="1">
      <alignment vertical="center"/>
    </xf>
    <xf numFmtId="0" fontId="125" fillId="0" borderId="0" xfId="4496" applyFont="1" applyAlignment="1">
      <alignment vertical="center" wrapText="1"/>
    </xf>
    <xf numFmtId="0" fontId="25" fillId="43" borderId="0" xfId="1192" applyFont="1" applyFill="1"/>
    <xf numFmtId="3" fontId="71" fillId="43" borderId="6" xfId="1192" applyNumberFormat="1" applyFont="1" applyFill="1" applyBorder="1"/>
    <xf numFmtId="0" fontId="155" fillId="0" borderId="0" xfId="0" applyFont="1"/>
    <xf numFmtId="0" fontId="25" fillId="0" borderId="11" xfId="253" applyFont="1" applyBorder="1" applyAlignment="1" applyProtection="1">
      <alignment horizontal="center" wrapText="1"/>
      <protection locked="0"/>
    </xf>
    <xf numFmtId="0" fontId="156" fillId="0" borderId="0" xfId="0" applyFont="1"/>
    <xf numFmtId="0" fontId="157" fillId="0" borderId="0" xfId="0" applyFont="1" applyAlignment="1">
      <alignment horizontal="center"/>
    </xf>
    <xf numFmtId="0" fontId="56" fillId="5" borderId="11" xfId="0" applyFont="1" applyFill="1" applyBorder="1" applyAlignment="1" applyProtection="1">
      <alignment horizontal="right" vertical="top" wrapText="1"/>
      <protection locked="0"/>
    </xf>
    <xf numFmtId="0" fontId="20" fillId="43" borderId="3" xfId="569" applyFill="1" applyBorder="1"/>
    <xf numFmtId="0" fontId="160" fillId="0" borderId="0" xfId="0" applyFont="1" applyAlignment="1">
      <alignment horizontal="right"/>
    </xf>
    <xf numFmtId="1" fontId="28" fillId="0" borderId="0" xfId="4495" applyNumberFormat="1" applyFont="1"/>
    <xf numFmtId="0" fontId="27" fillId="0" borderId="4" xfId="569" applyFont="1" applyBorder="1" applyAlignment="1">
      <alignment horizontal="center"/>
    </xf>
    <xf numFmtId="43" fontId="27" fillId="0" borderId="0" xfId="4503" applyFont="1" applyAlignment="1" applyProtection="1">
      <alignment horizontal="center"/>
    </xf>
    <xf numFmtId="0" fontId="27" fillId="0" borderId="0" xfId="569" applyFont="1" applyAlignment="1">
      <alignment horizontal="center" vertical="center"/>
    </xf>
    <xf numFmtId="0" fontId="27" fillId="0" borderId="16" xfId="569" applyFont="1" applyBorder="1" applyAlignment="1">
      <alignment horizontal="center"/>
    </xf>
    <xf numFmtId="49" fontId="27" fillId="0" borderId="4" xfId="569" applyNumberFormat="1" applyFont="1" applyBorder="1" applyAlignment="1">
      <alignment horizontal="center"/>
    </xf>
    <xf numFmtId="4" fontId="27" fillId="0" borderId="0" xfId="569" applyNumberFormat="1" applyFont="1" applyAlignment="1">
      <alignment horizontal="center"/>
    </xf>
    <xf numFmtId="0" fontId="20" fillId="0" borderId="0" xfId="569" applyAlignment="1">
      <alignment horizontal="center" wrapText="1"/>
    </xf>
    <xf numFmtId="0" fontId="20" fillId="0" borderId="0" xfId="0" applyFont="1" applyAlignment="1">
      <alignment vertical="center" wrapText="1"/>
    </xf>
    <xf numFmtId="3" fontId="25" fillId="43" borderId="11" xfId="271" applyNumberFormat="1" applyFont="1" applyFill="1" applyBorder="1" applyAlignment="1" applyProtection="1">
      <alignment horizontal="left"/>
      <protection locked="0"/>
    </xf>
    <xf numFmtId="0" fontId="101" fillId="43" borderId="6" xfId="4496" applyFont="1" applyFill="1" applyBorder="1" applyProtection="1">
      <protection locked="0"/>
    </xf>
    <xf numFmtId="1" fontId="101" fillId="0" borderId="0" xfId="4496" applyNumberFormat="1" applyFont="1" applyProtection="1">
      <protection locked="0"/>
    </xf>
    <xf numFmtId="182" fontId="165" fillId="0" borderId="11" xfId="4496" applyNumberFormat="1" applyFont="1" applyBorder="1"/>
    <xf numFmtId="44" fontId="101" fillId="0" borderId="0" xfId="4496" applyNumberFormat="1" applyFont="1"/>
    <xf numFmtId="182" fontId="25" fillId="0" borderId="11" xfId="4496" applyNumberFormat="1" applyFont="1" applyBorder="1"/>
    <xf numFmtId="9" fontId="101" fillId="0" borderId="0" xfId="4494" applyFont="1"/>
    <xf numFmtId="182" fontId="101" fillId="43" borderId="6" xfId="8721" applyNumberFormat="1" applyFont="1" applyFill="1" applyBorder="1" applyProtection="1">
      <protection locked="0"/>
    </xf>
    <xf numFmtId="0" fontId="20" fillId="0" borderId="0" xfId="4495" applyFont="1" applyAlignment="1">
      <alignment wrapText="1"/>
    </xf>
    <xf numFmtId="168" fontId="177" fillId="48" borderId="79" xfId="700" applyNumberFormat="1" applyFont="1" applyFill="1" applyBorder="1" applyAlignment="1" applyProtection="1">
      <protection locked="0"/>
    </xf>
    <xf numFmtId="3" fontId="48" fillId="10" borderId="0" xfId="543" applyNumberFormat="1" applyFont="1" applyFill="1" applyAlignment="1">
      <alignment vertical="center" wrapText="1"/>
    </xf>
    <xf numFmtId="0" fontId="184" fillId="0" borderId="0" xfId="543" applyFont="1" applyAlignment="1">
      <alignment horizontal="left" vertical="center"/>
    </xf>
    <xf numFmtId="0" fontId="185" fillId="0" borderId="0" xfId="543" applyFont="1" applyAlignment="1">
      <alignment horizontal="right" vertical="top" wrapText="1"/>
    </xf>
    <xf numFmtId="168" fontId="185" fillId="0" borderId="0" xfId="543" applyNumberFormat="1" applyFont="1" applyAlignment="1">
      <alignment horizontal="center" vertical="center"/>
    </xf>
    <xf numFmtId="0" fontId="186" fillId="0" borderId="0" xfId="543" applyFont="1" applyAlignment="1">
      <alignment horizontal="left" vertical="center"/>
    </xf>
    <xf numFmtId="0" fontId="186" fillId="0" borderId="0" xfId="543" applyFont="1" applyAlignment="1">
      <alignment horizontal="right" vertical="top" wrapText="1"/>
    </xf>
    <xf numFmtId="168" fontId="185" fillId="0" borderId="104" xfId="543" applyNumberFormat="1" applyFont="1" applyBorder="1" applyAlignment="1">
      <alignment horizontal="center" vertical="center"/>
    </xf>
    <xf numFmtId="0" fontId="186" fillId="0" borderId="106" xfId="543" applyFont="1" applyBorder="1" applyAlignment="1">
      <alignment horizontal="right" vertical="top" wrapText="1"/>
    </xf>
    <xf numFmtId="0" fontId="27" fillId="0" borderId="0" xfId="4495" applyFont="1" applyAlignment="1">
      <alignment wrapText="1"/>
    </xf>
    <xf numFmtId="182" fontId="20" fillId="0" borderId="0" xfId="700" applyNumberFormat="1" applyFont="1"/>
    <xf numFmtId="9" fontId="20" fillId="0" borderId="0" xfId="1022" applyFont="1"/>
    <xf numFmtId="168" fontId="20"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5" fillId="52" borderId="113" xfId="0" applyFont="1" applyFill="1" applyBorder="1"/>
    <xf numFmtId="0" fontId="125" fillId="53" borderId="113" xfId="0" applyFont="1" applyFill="1" applyBorder="1"/>
    <xf numFmtId="1" fontId="0" fillId="0" borderId="0" xfId="0" applyNumberFormat="1"/>
    <xf numFmtId="0" fontId="21"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1" fillId="0" borderId="0" xfId="244" applyAlignment="1">
      <alignment horizontal="left" vertical="top"/>
    </xf>
    <xf numFmtId="9" fontId="20" fillId="0" borderId="0" xfId="0" applyNumberFormat="1" applyFont="1"/>
    <xf numFmtId="185" fontId="171" fillId="0" borderId="0" xfId="698" applyNumberFormat="1" applyFont="1"/>
    <xf numFmtId="0" fontId="188" fillId="0" borderId="0" xfId="0" applyFont="1" applyAlignment="1">
      <alignment horizontal="center"/>
    </xf>
    <xf numFmtId="0" fontId="20" fillId="0" borderId="0" xfId="569" quotePrefix="1"/>
    <xf numFmtId="168" fontId="158" fillId="0" borderId="0" xfId="0" applyNumberFormat="1" applyFont="1" applyAlignment="1">
      <alignment vertical="center" wrapText="1"/>
    </xf>
    <xf numFmtId="168" fontId="189" fillId="0" borderId="0" xfId="0" applyNumberFormat="1" applyFont="1" applyAlignment="1">
      <alignment horizontal="center" vertical="center" wrapText="1"/>
    </xf>
    <xf numFmtId="0" fontId="0" fillId="0" borderId="0" xfId="0" applyAlignment="1">
      <alignment vertical="center"/>
    </xf>
    <xf numFmtId="0" fontId="27" fillId="0" borderId="0" xfId="4495" quotePrefix="1" applyFont="1"/>
    <xf numFmtId="0" fontId="27" fillId="0" borderId="0" xfId="4495" applyFont="1" applyAlignment="1">
      <alignment horizontal="left" vertical="center"/>
    </xf>
    <xf numFmtId="0" fontId="27" fillId="0" borderId="0" xfId="4495" applyFont="1" applyAlignment="1">
      <alignment vertical="center"/>
    </xf>
    <xf numFmtId="0" fontId="125" fillId="0" borderId="58" xfId="4496" applyFont="1" applyBorder="1" applyAlignment="1">
      <alignment vertical="center"/>
    </xf>
    <xf numFmtId="0" fontId="27" fillId="0" borderId="5" xfId="4495" applyFont="1" applyBorder="1"/>
    <xf numFmtId="182" fontId="101" fillId="0" borderId="6" xfId="4496" applyNumberFormat="1" applyFont="1" applyBorder="1" applyAlignment="1">
      <alignment vertical="center"/>
    </xf>
    <xf numFmtId="1" fontId="101" fillId="0" borderId="0" xfId="4496" applyNumberFormat="1" applyFont="1" applyAlignment="1">
      <alignment horizontal="right" vertical="top" wrapText="1" indent="1"/>
    </xf>
    <xf numFmtId="3" fontId="101" fillId="43" borderId="6" xfId="4496" applyNumberFormat="1" applyFont="1" applyFill="1" applyBorder="1" applyAlignment="1" applyProtection="1">
      <alignment horizontal="center"/>
      <protection locked="0"/>
    </xf>
    <xf numFmtId="0" fontId="4" fillId="0" borderId="0" xfId="8736"/>
    <xf numFmtId="0" fontId="171" fillId="0" borderId="0" xfId="8736" applyFont="1"/>
    <xf numFmtId="0" fontId="106" fillId="0" borderId="0" xfId="8736" applyFont="1"/>
    <xf numFmtId="0" fontId="4" fillId="47" borderId="66" xfId="8736" applyFill="1" applyBorder="1"/>
    <xf numFmtId="0" fontId="4" fillId="47" borderId="0" xfId="8736" applyFill="1"/>
    <xf numFmtId="0" fontId="105" fillId="47" borderId="0" xfId="8736" applyFont="1" applyFill="1"/>
    <xf numFmtId="9" fontId="4" fillId="44" borderId="3" xfId="1022" applyFont="1" applyFill="1" applyBorder="1" applyAlignment="1">
      <alignment horizontal="centerContinuous"/>
    </xf>
    <xf numFmtId="9" fontId="4" fillId="44" borderId="4" xfId="1022" applyFont="1" applyFill="1" applyBorder="1" applyAlignment="1">
      <alignment horizontal="centerContinuous"/>
    </xf>
    <xf numFmtId="9" fontId="4" fillId="44" borderId="5" xfId="1022" applyFont="1" applyFill="1" applyBorder="1" applyAlignment="1">
      <alignment horizontal="centerContinuous"/>
    </xf>
    <xf numFmtId="0" fontId="105" fillId="47" borderId="41" xfId="8736" applyFont="1" applyFill="1" applyBorder="1" applyAlignment="1">
      <alignment horizontal="center"/>
    </xf>
    <xf numFmtId="182" fontId="176" fillId="47" borderId="0" xfId="8737" applyNumberFormat="1" applyFont="1" applyFill="1" applyBorder="1" applyAlignment="1"/>
    <xf numFmtId="0" fontId="4" fillId="47" borderId="41" xfId="8736" applyFill="1" applyBorder="1"/>
    <xf numFmtId="0" fontId="106" fillId="47" borderId="0" xfId="8736" applyFont="1" applyFill="1"/>
    <xf numFmtId="0" fontId="180" fillId="47" borderId="0" xfId="8736" applyFont="1" applyFill="1"/>
    <xf numFmtId="0" fontId="105" fillId="47" borderId="41" xfId="8736" applyFont="1" applyFill="1" applyBorder="1"/>
    <xf numFmtId="0" fontId="105" fillId="0" borderId="0" xfId="8736" applyFont="1"/>
    <xf numFmtId="0" fontId="168" fillId="0" borderId="0" xfId="8736" applyFont="1"/>
    <xf numFmtId="0" fontId="105" fillId="54" borderId="100" xfId="8736" applyFont="1" applyFill="1" applyBorder="1"/>
    <xf numFmtId="0" fontId="4" fillId="53" borderId="99" xfId="8736" applyFill="1" applyBorder="1"/>
    <xf numFmtId="0" fontId="4" fillId="52" borderId="99" xfId="8736" applyFill="1" applyBorder="1"/>
    <xf numFmtId="0" fontId="105" fillId="45" borderId="65" xfId="8736" applyFont="1" applyFill="1" applyBorder="1"/>
    <xf numFmtId="0" fontId="4" fillId="45" borderId="80" xfId="8736" applyFill="1" applyBorder="1"/>
    <xf numFmtId="0" fontId="4" fillId="45" borderId="79" xfId="8736" applyFill="1" applyBorder="1"/>
    <xf numFmtId="0" fontId="4" fillId="45" borderId="78" xfId="8736" applyFill="1" applyBorder="1"/>
    <xf numFmtId="0" fontId="105" fillId="45" borderId="0" xfId="8736" applyFont="1" applyFill="1"/>
    <xf numFmtId="0" fontId="105" fillId="45" borderId="12" xfId="8736" applyFont="1" applyFill="1" applyBorder="1"/>
    <xf numFmtId="0" fontId="105" fillId="45" borderId="29" xfId="8736" applyFont="1" applyFill="1" applyBorder="1"/>
    <xf numFmtId="0" fontId="105" fillId="45" borderId="80" xfId="8736" applyFont="1" applyFill="1" applyBorder="1"/>
    <xf numFmtId="0" fontId="105" fillId="45" borderId="79" xfId="8736" applyFont="1" applyFill="1" applyBorder="1"/>
    <xf numFmtId="0" fontId="105" fillId="45" borderId="78" xfId="8736" applyFont="1" applyFill="1" applyBorder="1"/>
    <xf numFmtId="0" fontId="105" fillId="45" borderId="93" xfId="8736" applyFont="1" applyFill="1" applyBorder="1"/>
    <xf numFmtId="0" fontId="105" fillId="45" borderId="6" xfId="8736" applyFont="1" applyFill="1" applyBorder="1"/>
    <xf numFmtId="0" fontId="105" fillId="45" borderId="10" xfId="8736" applyFont="1" applyFill="1" applyBorder="1"/>
    <xf numFmtId="0" fontId="171" fillId="44" borderId="0" xfId="8736" applyFont="1" applyFill="1"/>
    <xf numFmtId="10" fontId="171" fillId="44" borderId="0" xfId="1022" applyNumberFormat="1" applyFont="1" applyFill="1"/>
    <xf numFmtId="0" fontId="4" fillId="45" borderId="29" xfId="8736" applyFill="1" applyBorder="1"/>
    <xf numFmtId="0" fontId="4" fillId="45" borderId="31" xfId="8736" applyFill="1" applyBorder="1"/>
    <xf numFmtId="0" fontId="105" fillId="45" borderId="92" xfId="8736" applyFont="1" applyFill="1" applyBorder="1"/>
    <xf numFmtId="0" fontId="105" fillId="45" borderId="74" xfId="8736" applyFont="1" applyFill="1" applyBorder="1"/>
    <xf numFmtId="0" fontId="182" fillId="47" borderId="0" xfId="8736" applyFont="1" applyFill="1"/>
    <xf numFmtId="0" fontId="105" fillId="45" borderId="31" xfId="8736" applyFont="1" applyFill="1" applyBorder="1"/>
    <xf numFmtId="0" fontId="4" fillId="47" borderId="0" xfId="8736" applyFill="1" applyAlignment="1">
      <alignment horizontal="left"/>
    </xf>
    <xf numFmtId="0" fontId="174" fillId="51" borderId="11" xfId="8736" applyFont="1" applyFill="1" applyBorder="1"/>
    <xf numFmtId="0" fontId="174" fillId="51" borderId="76" xfId="8736" applyFont="1" applyFill="1" applyBorder="1"/>
    <xf numFmtId="0" fontId="175" fillId="51" borderId="11" xfId="8736" applyFont="1" applyFill="1" applyBorder="1" applyAlignment="1">
      <alignment horizontal="center"/>
    </xf>
    <xf numFmtId="0" fontId="175" fillId="51" borderId="76" xfId="8736" applyFont="1" applyFill="1" applyBorder="1" applyAlignment="1">
      <alignment horizontal="center"/>
    </xf>
    <xf numFmtId="0" fontId="4" fillId="48" borderId="66" xfId="8736" applyFill="1" applyBorder="1"/>
    <xf numFmtId="0" fontId="4" fillId="48" borderId="0" xfId="8736" applyFill="1"/>
    <xf numFmtId="0" fontId="4" fillId="48" borderId="78" xfId="8736" applyFill="1" applyBorder="1"/>
    <xf numFmtId="0" fontId="105" fillId="47" borderId="66" xfId="8736" applyFont="1" applyFill="1" applyBorder="1"/>
    <xf numFmtId="49" fontId="105" fillId="47" borderId="66" xfId="8736" applyNumberFormat="1" applyFont="1" applyFill="1" applyBorder="1" applyAlignment="1">
      <alignment horizontal="right" vertical="top"/>
    </xf>
    <xf numFmtId="0" fontId="4" fillId="47" borderId="73" xfId="8736" applyFill="1" applyBorder="1"/>
    <xf numFmtId="0" fontId="4" fillId="47" borderId="42" xfId="8736" applyFill="1" applyBorder="1"/>
    <xf numFmtId="0" fontId="4" fillId="47" borderId="44" xfId="8736" applyFill="1" applyBorder="1"/>
    <xf numFmtId="0" fontId="4" fillId="44" borderId="66" xfId="8736" applyFill="1" applyBorder="1"/>
    <xf numFmtId="0" fontId="4" fillId="44" borderId="0" xfId="8736" applyFill="1"/>
    <xf numFmtId="0" fontId="4" fillId="44" borderId="41" xfId="8736" applyFill="1" applyBorder="1"/>
    <xf numFmtId="0" fontId="4" fillId="44" borderId="0" xfId="8736" applyFill="1" applyAlignment="1">
      <alignment horizontal="left"/>
    </xf>
    <xf numFmtId="0" fontId="4" fillId="44" borderId="73" xfId="8736" applyFill="1" applyBorder="1"/>
    <xf numFmtId="0" fontId="4" fillId="44" borderId="42" xfId="8736" applyFill="1" applyBorder="1"/>
    <xf numFmtId="0" fontId="4" fillId="44" borderId="44" xfId="8736" applyFill="1" applyBorder="1"/>
    <xf numFmtId="0" fontId="166" fillId="0" borderId="0" xfId="8736" applyFont="1"/>
    <xf numFmtId="0" fontId="20" fillId="5" borderId="6" xfId="569" applyFill="1" applyBorder="1" applyAlignment="1" applyProtection="1">
      <alignment horizontal="left"/>
      <protection locked="0"/>
    </xf>
    <xf numFmtId="0" fontId="20" fillId="5" borderId="4" xfId="569" applyFill="1" applyBorder="1" applyAlignment="1" applyProtection="1">
      <alignment horizontal="left"/>
      <protection locked="0"/>
    </xf>
    <xf numFmtId="0" fontId="20" fillId="5" borderId="4" xfId="569" applyFill="1" applyBorder="1" applyAlignment="1" applyProtection="1">
      <alignment horizontal="center"/>
      <protection locked="0"/>
    </xf>
    <xf numFmtId="0" fontId="0" fillId="5" borderId="6" xfId="0"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29" fillId="0" borderId="0" xfId="0" applyFont="1" applyAlignment="1">
      <alignment horizontal="left" vertical="top" wrapText="1"/>
    </xf>
    <xf numFmtId="166" fontId="29" fillId="5" borderId="4" xfId="0" applyNumberFormat="1" applyFont="1" applyFill="1" applyBorder="1" applyAlignment="1" applyProtection="1">
      <alignment horizontal="left"/>
      <protection locked="0"/>
    </xf>
    <xf numFmtId="1" fontId="0" fillId="43" borderId="4" xfId="0" applyNumberFormat="1" applyFill="1" applyBorder="1" applyAlignment="1" applyProtection="1">
      <alignment horizontal="center"/>
      <protection locked="0"/>
    </xf>
    <xf numFmtId="0" fontId="29" fillId="5" borderId="6" xfId="0" applyFont="1" applyFill="1" applyBorder="1" applyAlignment="1" applyProtection="1">
      <alignment horizontal="center"/>
      <protection locked="0"/>
    </xf>
    <xf numFmtId="0" fontId="29"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166" fontId="29" fillId="5" borderId="6" xfId="0" applyNumberFormat="1" applyFont="1" applyFill="1" applyBorder="1" applyAlignment="1" applyProtection="1">
      <alignment horizontal="left"/>
      <protection locked="0"/>
    </xf>
    <xf numFmtId="166" fontId="20" fillId="5" borderId="4" xfId="0" applyNumberFormat="1"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9" fillId="45" borderId="3" xfId="0" applyFont="1" applyFill="1" applyBorder="1" applyAlignment="1">
      <alignment horizontal="center"/>
    </xf>
    <xf numFmtId="0" fontId="29" fillId="45" borderId="4" xfId="0" applyFont="1" applyFill="1" applyBorder="1" applyAlignment="1">
      <alignment horizontal="center"/>
    </xf>
    <xf numFmtId="0" fontId="29" fillId="45" borderId="5" xfId="0" applyFont="1" applyFill="1" applyBorder="1" applyAlignment="1">
      <alignment horizontal="center"/>
    </xf>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6" fillId="0" borderId="105" xfId="543" applyNumberFormat="1" applyFont="1" applyBorder="1" applyAlignment="1">
      <alignment horizontal="right" vertical="center" wrapText="1"/>
    </xf>
    <xf numFmtId="175" fontId="186" fillId="0" borderId="107" xfId="543" applyNumberFormat="1" applyFont="1" applyBorder="1" applyAlignment="1">
      <alignment horizontal="center" vertical="center" wrapText="1"/>
    </xf>
    <xf numFmtId="175" fontId="186" fillId="0" borderId="108" xfId="543" applyNumberFormat="1" applyFont="1" applyBorder="1" applyAlignment="1">
      <alignment horizontal="center" vertical="center" wrapText="1"/>
    </xf>
    <xf numFmtId="175" fontId="186" fillId="0" borderId="109" xfId="543" applyNumberFormat="1" applyFont="1" applyBorder="1" applyAlignment="1">
      <alignment horizontal="center" vertical="center" wrapText="1"/>
    </xf>
    <xf numFmtId="0" fontId="185"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3" fillId="0" borderId="3" xfId="0" applyFont="1" applyBorder="1" applyAlignment="1">
      <alignment horizontal="center"/>
    </xf>
    <xf numFmtId="0" fontId="43" fillId="0" borderId="4" xfId="0" applyFont="1" applyBorder="1" applyAlignment="1">
      <alignment horizontal="center"/>
    </xf>
    <xf numFmtId="0" fontId="43" fillId="0" borderId="5"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9" fillId="45" borderId="11" xfId="0" applyFont="1" applyFill="1" applyBorder="1" applyAlignment="1">
      <alignment horizontal="center"/>
    </xf>
    <xf numFmtId="0" fontId="29" fillId="5" borderId="3" xfId="0" applyFont="1" applyFill="1" applyBorder="1" applyAlignment="1" applyProtection="1">
      <alignment horizontal="center"/>
      <protection locked="0"/>
    </xf>
    <xf numFmtId="0" fontId="29" fillId="5" borderId="4" xfId="0" applyFont="1" applyFill="1" applyBorder="1" applyAlignment="1" applyProtection="1">
      <alignment horizontal="center"/>
      <protection locked="0"/>
    </xf>
    <xf numFmtId="0" fontId="29" fillId="5" borderId="5" xfId="0" applyFont="1" applyFill="1" applyBorder="1" applyAlignment="1" applyProtection="1">
      <alignment horizontal="center"/>
      <protection locked="0"/>
    </xf>
    <xf numFmtId="168" fontId="29" fillId="0" borderId="3" xfId="0" applyNumberFormat="1" applyFont="1" applyBorder="1" applyAlignment="1">
      <alignment horizontal="center"/>
    </xf>
    <xf numFmtId="168" fontId="29" fillId="0" borderId="4" xfId="0" applyNumberFormat="1" applyFont="1" applyBorder="1" applyAlignment="1">
      <alignment horizontal="center"/>
    </xf>
    <xf numFmtId="168" fontId="29" fillId="0" borderId="5" xfId="0" applyNumberFormat="1" applyFont="1" applyBorder="1" applyAlignment="1">
      <alignment horizontal="center"/>
    </xf>
    <xf numFmtId="165" fontId="29" fillId="0" borderId="1" xfId="0" applyNumberFormat="1" applyFont="1" applyBorder="1" applyAlignment="1">
      <alignment horizontal="right"/>
    </xf>
    <xf numFmtId="165" fontId="29" fillId="0" borderId="2" xfId="0" applyNumberFormat="1" applyFont="1" applyBorder="1" applyAlignment="1">
      <alignment horizontal="right"/>
    </xf>
    <xf numFmtId="165" fontId="29" fillId="0" borderId="7" xfId="0" applyNumberFormat="1" applyFont="1" applyBorder="1" applyAlignment="1">
      <alignment horizontal="right"/>
    </xf>
    <xf numFmtId="1" fontId="29" fillId="5" borderId="3" xfId="0" applyNumberFormat="1" applyFont="1" applyFill="1" applyBorder="1" applyAlignment="1" applyProtection="1">
      <alignment horizontal="center"/>
      <protection locked="0"/>
    </xf>
    <xf numFmtId="1" fontId="29" fillId="5" borderId="4" xfId="0" applyNumberFormat="1" applyFont="1" applyFill="1" applyBorder="1" applyAlignment="1" applyProtection="1">
      <alignment horizontal="center"/>
      <protection locked="0"/>
    </xf>
    <xf numFmtId="1" fontId="29" fillId="5" borderId="5" xfId="0" applyNumberFormat="1" applyFont="1" applyFill="1" applyBorder="1" applyAlignment="1" applyProtection="1">
      <alignment horizontal="center"/>
      <protection locked="0"/>
    </xf>
    <xf numFmtId="9" fontId="29" fillId="5" borderId="3" xfId="0" applyNumberFormat="1" applyFont="1" applyFill="1" applyBorder="1" applyAlignment="1" applyProtection="1">
      <alignment horizontal="center"/>
      <protection locked="0"/>
    </xf>
    <xf numFmtId="9" fontId="29" fillId="5" borderId="4" xfId="0" applyNumberFormat="1" applyFont="1" applyFill="1" applyBorder="1" applyAlignment="1" applyProtection="1">
      <alignment horizontal="center"/>
      <protection locked="0"/>
    </xf>
    <xf numFmtId="9" fontId="29" fillId="5" borderId="5" xfId="0" applyNumberFormat="1" applyFont="1" applyFill="1" applyBorder="1" applyAlignment="1" applyProtection="1">
      <alignment horizontal="center"/>
      <protection locked="0"/>
    </xf>
    <xf numFmtId="168" fontId="29" fillId="5" borderId="3" xfId="0" applyNumberFormat="1" applyFont="1" applyFill="1" applyBorder="1" applyAlignment="1" applyProtection="1">
      <alignment horizontal="center"/>
      <protection locked="0"/>
    </xf>
    <xf numFmtId="168" fontId="29" fillId="5" borderId="4" xfId="0" applyNumberFormat="1" applyFont="1" applyFill="1" applyBorder="1" applyAlignment="1" applyProtection="1">
      <alignment horizontal="center"/>
      <protection locked="0"/>
    </xf>
    <xf numFmtId="168" fontId="29" fillId="5" borderId="5" xfId="0" applyNumberFormat="1" applyFont="1" applyFill="1" applyBorder="1" applyAlignment="1" applyProtection="1">
      <alignment horizontal="center"/>
      <protection locked="0"/>
    </xf>
    <xf numFmtId="0" fontId="29" fillId="2" borderId="11" xfId="0" applyFont="1" applyFill="1" applyBorder="1" applyAlignment="1">
      <alignment horizontal="center"/>
    </xf>
    <xf numFmtId="0" fontId="0" fillId="0" borderId="11" xfId="0" applyBorder="1" applyAlignment="1">
      <alignment horizontal="center"/>
    </xf>
    <xf numFmtId="0" fontId="20" fillId="0" borderId="11" xfId="0" applyFont="1" applyBorder="1" applyAlignment="1">
      <alignment horizontal="center"/>
    </xf>
    <xf numFmtId="0" fontId="27" fillId="0" borderId="3" xfId="0" applyFont="1" applyBorder="1" applyAlignment="1">
      <alignment horizontal="right"/>
    </xf>
    <xf numFmtId="0" fontId="27" fillId="0" borderId="4" xfId="0" applyFont="1" applyBorder="1" applyAlignment="1">
      <alignment horizontal="right"/>
    </xf>
    <xf numFmtId="0" fontId="27" fillId="0" borderId="6" xfId="0" applyFont="1" applyBorder="1" applyAlignment="1">
      <alignment horizontal="right"/>
    </xf>
    <xf numFmtId="0" fontId="27" fillId="0" borderId="5" xfId="0" applyFont="1" applyBorder="1" applyAlignment="1">
      <alignment horizontal="right"/>
    </xf>
    <xf numFmtId="180" fontId="28" fillId="43" borderId="3" xfId="0" applyNumberFormat="1" applyFont="1" applyFill="1" applyBorder="1" applyAlignment="1" applyProtection="1">
      <alignment horizontal="center" vertical="center"/>
      <protection locked="0"/>
    </xf>
    <xf numFmtId="180" fontId="28" fillId="43" borderId="4" xfId="0" applyNumberFormat="1" applyFont="1" applyFill="1" applyBorder="1" applyAlignment="1" applyProtection="1">
      <alignment horizontal="center" vertical="center"/>
      <protection locked="0"/>
    </xf>
    <xf numFmtId="180" fontId="28" fillId="43" borderId="5" xfId="0" applyNumberFormat="1" applyFont="1" applyFill="1" applyBorder="1" applyAlignment="1" applyProtection="1">
      <alignment horizontal="center" vertical="center"/>
      <protection locked="0"/>
    </xf>
    <xf numFmtId="0" fontId="27" fillId="0" borderId="1"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0" xfId="0" applyFont="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6" xfId="0" applyFont="1" applyBorder="1" applyAlignment="1">
      <alignment horizontal="center"/>
    </xf>
    <xf numFmtId="0" fontId="27" fillId="0" borderId="10" xfId="0" applyFont="1" applyBorder="1" applyAlignment="1">
      <alignment horizontal="center"/>
    </xf>
    <xf numFmtId="0" fontId="29" fillId="5" borderId="9" xfId="0" applyFont="1" applyFill="1" applyBorder="1" applyAlignment="1" applyProtection="1">
      <alignment horizontal="center"/>
      <protection locked="0"/>
    </xf>
    <xf numFmtId="0" fontId="29" fillId="5" borderId="4" xfId="0" applyFont="1" applyFill="1" applyBorder="1" applyAlignment="1" applyProtection="1">
      <alignment horizontal="left"/>
      <protection locked="0"/>
    </xf>
    <xf numFmtId="0" fontId="0" fillId="0" borderId="6" xfId="0" applyBorder="1" applyAlignment="1">
      <alignment horizontal="left"/>
    </xf>
    <xf numFmtId="0" fontId="20" fillId="5" borderId="11" xfId="0" applyFont="1" applyFill="1" applyBorder="1" applyAlignment="1" applyProtection="1">
      <alignment horizontal="left" vertical="center" wrapText="1"/>
      <protection locked="0"/>
    </xf>
    <xf numFmtId="175" fontId="20" fillId="43" borderId="3" xfId="0" applyNumberFormat="1" applyFont="1" applyFill="1" applyBorder="1" applyAlignment="1" applyProtection="1">
      <alignment horizontal="center" vertical="center"/>
      <protection locked="0"/>
    </xf>
    <xf numFmtId="175" fontId="20" fillId="43" borderId="4" xfId="0" applyNumberFormat="1" applyFont="1" applyFill="1" applyBorder="1" applyAlignment="1" applyProtection="1">
      <alignment horizontal="center" vertical="center"/>
      <protection locked="0"/>
    </xf>
    <xf numFmtId="175" fontId="20"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20" fillId="43" borderId="3" xfId="0" applyNumberFormat="1" applyFont="1" applyFill="1" applyBorder="1" applyAlignment="1" applyProtection="1">
      <alignment horizontal="center" vertical="center"/>
      <protection locked="0"/>
    </xf>
    <xf numFmtId="168" fontId="20" fillId="43" borderId="4" xfId="0" applyNumberFormat="1" applyFont="1" applyFill="1" applyBorder="1" applyAlignment="1" applyProtection="1">
      <alignment horizontal="center" vertical="center"/>
      <protection locked="0"/>
    </xf>
    <xf numFmtId="168" fontId="20"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0" fontId="20" fillId="0" borderId="11" xfId="543" applyBorder="1" applyAlignment="1">
      <alignment horizontal="center"/>
    </xf>
    <xf numFmtId="0" fontId="0" fillId="43" borderId="4" xfId="0" applyFill="1" applyBorder="1" applyAlignment="1" applyProtection="1">
      <alignment horizontal="center"/>
      <protection locked="0"/>
    </xf>
    <xf numFmtId="0" fontId="20" fillId="5" borderId="11" xfId="0" applyFont="1" applyFill="1" applyBorder="1" applyAlignment="1" applyProtection="1">
      <alignment vertical="center" wrapText="1"/>
      <protection locked="0"/>
    </xf>
    <xf numFmtId="168" fontId="29" fillId="0" borderId="3" xfId="0" applyNumberFormat="1" applyFont="1" applyBorder="1" applyAlignment="1">
      <alignment horizontal="left" vertical="top"/>
    </xf>
    <xf numFmtId="168" fontId="29" fillId="0" borderId="4" xfId="0" applyNumberFormat="1" applyFont="1" applyBorder="1" applyAlignment="1">
      <alignment horizontal="left" vertical="top"/>
    </xf>
    <xf numFmtId="168" fontId="29" fillId="0" borderId="5" xfId="0" applyNumberFormat="1" applyFont="1" applyBorder="1" applyAlignment="1">
      <alignment horizontal="left" vertical="top"/>
    </xf>
    <xf numFmtId="0" fontId="20"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9" fillId="5" borderId="4" xfId="0" applyFont="1" applyFill="1" applyBorder="1" applyAlignment="1" applyProtection="1">
      <alignment horizontal="right"/>
      <protection locked="0"/>
    </xf>
    <xf numFmtId="168" fontId="29" fillId="5" borderId="6" xfId="0" applyNumberFormat="1" applyFont="1" applyFill="1" applyBorder="1" applyAlignment="1" applyProtection="1">
      <alignment horizontal="right"/>
      <protection locked="0"/>
    </xf>
    <xf numFmtId="168" fontId="29" fillId="5" borderId="4" xfId="0" applyNumberFormat="1" applyFon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3" xfId="0" applyFont="1" applyBorder="1" applyAlignment="1">
      <alignment horizontal="left"/>
    </xf>
    <xf numFmtId="0" fontId="20" fillId="0" borderId="4" xfId="0" applyFont="1" applyBorder="1" applyAlignment="1">
      <alignment horizontal="left"/>
    </xf>
    <xf numFmtId="0" fontId="20" fillId="0" borderId="5" xfId="0" applyFont="1" applyBorder="1" applyAlignment="1">
      <alignment horizontal="left"/>
    </xf>
    <xf numFmtId="1" fontId="0" fillId="43" borderId="3"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0" fillId="0" borderId="3" xfId="0" applyNumberFormat="1" applyFont="1" applyBorder="1" applyAlignment="1">
      <alignment horizontal="left" vertical="top"/>
    </xf>
    <xf numFmtId="3" fontId="29" fillId="0" borderId="11" xfId="0" applyNumberFormat="1" applyFont="1" applyBorder="1" applyAlignment="1">
      <alignment horizontal="center"/>
    </xf>
    <xf numFmtId="0" fontId="0" fillId="0" borderId="4" xfId="0" applyBorder="1" applyAlignment="1">
      <alignment horizontal="left"/>
    </xf>
    <xf numFmtId="0" fontId="0" fillId="0" borderId="5" xfId="0" applyBorder="1" applyAlignment="1">
      <alignment horizontal="left"/>
    </xf>
    <xf numFmtId="10" fontId="29" fillId="0" borderId="11" xfId="0" applyNumberFormat="1"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43" borderId="10" xfId="0" applyFill="1" applyBorder="1" applyAlignment="1" applyProtection="1">
      <alignment horizontal="left"/>
      <protection locked="0"/>
    </xf>
    <xf numFmtId="3" fontId="29" fillId="5" borderId="11" xfId="0" applyNumberFormat="1" applyFont="1" applyFill="1" applyBorder="1" applyAlignment="1" applyProtection="1">
      <alignment horizontal="center"/>
      <protection locked="0"/>
    </xf>
    <xf numFmtId="0" fontId="0" fillId="0" borderId="3" xfId="0" applyBorder="1" applyAlignment="1">
      <alignment horizontal="lef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7" fillId="0" borderId="3" xfId="0" applyFont="1" applyBorder="1" applyAlignment="1">
      <alignment horizontal="center"/>
    </xf>
    <xf numFmtId="0" fontId="27" fillId="0" borderId="4" xfId="0" applyFont="1" applyBorder="1" applyAlignment="1">
      <alignment horizontal="center"/>
    </xf>
    <xf numFmtId="0" fontId="0" fillId="0" borderId="6" xfId="0" applyBorder="1" applyAlignment="1" applyProtection="1">
      <alignment horizontal="center"/>
      <protection locked="0"/>
    </xf>
    <xf numFmtId="0" fontId="29" fillId="5" borderId="11"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29"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7" fillId="0" borderId="5" xfId="0" applyFont="1" applyBorder="1" applyAlignment="1">
      <alignment horizontal="center"/>
    </xf>
    <xf numFmtId="1" fontId="29" fillId="5" borderId="3" xfId="0" applyNumberFormat="1" applyFont="1" applyFill="1" applyBorder="1" applyAlignment="1" applyProtection="1">
      <alignment horizontal="right" vertical="top"/>
      <protection locked="0"/>
    </xf>
    <xf numFmtId="1" fontId="29" fillId="5" borderId="4" xfId="0" applyNumberFormat="1" applyFont="1" applyFill="1" applyBorder="1" applyAlignment="1" applyProtection="1">
      <alignment horizontal="right" vertical="top"/>
      <protection locked="0"/>
    </xf>
    <xf numFmtId="1" fontId="29" fillId="5" borderId="5" xfId="0" applyNumberFormat="1" applyFont="1" applyFill="1" applyBorder="1" applyAlignment="1" applyProtection="1">
      <alignment horizontal="right" vertical="top"/>
      <protection locked="0"/>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0" fontId="0" fillId="0" borderId="0" xfId="0" applyAlignment="1">
      <alignment horizontal="center"/>
    </xf>
    <xf numFmtId="0" fontId="0" fillId="0" borderId="12" xfId="0" applyBorder="1" applyAlignment="1">
      <alignment horizontal="center"/>
    </xf>
    <xf numFmtId="0" fontId="20" fillId="5" borderId="4" xfId="0" applyFont="1" applyFill="1" applyBorder="1" applyAlignment="1" applyProtection="1">
      <alignment wrapText="1"/>
      <protection locked="0"/>
    </xf>
    <xf numFmtId="0" fontId="39" fillId="5" borderId="6" xfId="0" applyFont="1" applyFill="1" applyBorder="1" applyAlignment="1" applyProtection="1">
      <alignment horizontal="left"/>
      <protection locked="0"/>
    </xf>
    <xf numFmtId="0" fontId="0" fillId="0" borderId="6" xfId="0" applyBorder="1" applyAlignment="1">
      <alignment horizontal="center"/>
    </xf>
    <xf numFmtId="0" fontId="0" fillId="0" borderId="10" xfId="0" applyBorder="1" applyAlignment="1">
      <alignment horizontal="center"/>
    </xf>
    <xf numFmtId="178" fontId="29" fillId="5" borderId="4" xfId="0" applyNumberFormat="1" applyFont="1" applyFill="1" applyBorder="1" applyAlignment="1" applyProtection="1">
      <alignment horizontal="right"/>
      <protection locked="0"/>
    </xf>
    <xf numFmtId="0" fontId="28"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5" borderId="6" xfId="0" applyFont="1" applyFill="1" applyBorder="1" applyAlignment="1" applyProtection="1">
      <alignment horizontal="left"/>
      <protection locked="0"/>
    </xf>
    <xf numFmtId="1" fontId="29" fillId="5" borderId="6" xfId="0" applyNumberFormat="1" applyFont="1" applyFill="1" applyBorder="1" applyAlignment="1" applyProtection="1">
      <alignment horizontal="right"/>
      <protection locked="0"/>
    </xf>
    <xf numFmtId="165" fontId="29" fillId="5" borderId="3" xfId="0" applyNumberFormat="1" applyFont="1" applyFill="1" applyBorder="1" applyAlignment="1" applyProtection="1">
      <alignment horizontal="center"/>
      <protection locked="0"/>
    </xf>
    <xf numFmtId="165" fontId="29" fillId="5" borderId="4" xfId="0" applyNumberFormat="1" applyFont="1" applyFill="1" applyBorder="1" applyAlignment="1" applyProtection="1">
      <alignment horizontal="center"/>
      <protection locked="0"/>
    </xf>
    <xf numFmtId="165" fontId="29" fillId="5" borderId="5" xfId="0" applyNumberFormat="1" applyFon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29" fillId="5" borderId="0" xfId="0" applyFont="1" applyFill="1" applyAlignment="1" applyProtection="1">
      <alignment horizontal="left" vertical="top" wrapText="1"/>
      <protection locked="0"/>
    </xf>
    <xf numFmtId="0" fontId="29"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2" fontId="0" fillId="5" borderId="6" xfId="0" applyNumberFormat="1" applyFill="1" applyBorder="1" applyAlignment="1" applyProtection="1">
      <alignment horizontal="center"/>
      <protection locked="0"/>
    </xf>
    <xf numFmtId="1" fontId="29" fillId="5" borderId="11" xfId="0" quotePrefix="1" applyNumberFormat="1" applyFont="1" applyFill="1" applyBorder="1" applyAlignment="1" applyProtection="1">
      <alignment horizontal="center"/>
      <protection locked="0"/>
    </xf>
    <xf numFmtId="1" fontId="29" fillId="5" borderId="11" xfId="0" applyNumberFormat="1" applyFont="1" applyFill="1" applyBorder="1" applyAlignment="1" applyProtection="1">
      <alignment horizontal="center"/>
      <protection locked="0"/>
    </xf>
    <xf numFmtId="168" fontId="0" fillId="0" borderId="6" xfId="0" applyNumberFormat="1" applyBorder="1" applyAlignment="1">
      <alignment horizontal="center"/>
    </xf>
    <xf numFmtId="14" fontId="0" fillId="5" borderId="6" xfId="0" applyNumberFormat="1" applyFill="1" applyBorder="1" applyAlignment="1" applyProtection="1">
      <alignment horizontal="center"/>
      <protection locked="0"/>
    </xf>
    <xf numFmtId="0" fontId="20" fillId="5" borderId="6" xfId="244" applyFont="1" applyFill="1" applyBorder="1" applyAlignment="1" applyProtection="1">
      <alignment horizontal="left"/>
      <protection locked="0"/>
    </xf>
    <xf numFmtId="0" fontId="20" fillId="5" borderId="0"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29" fillId="5" borderId="6" xfId="0" applyFont="1" applyFill="1" applyBorder="1" applyAlignment="1" applyProtection="1">
      <alignment horizontal="left" wrapText="1"/>
      <protection locked="0"/>
    </xf>
    <xf numFmtId="0" fontId="20" fillId="0" borderId="6" xfId="0" applyFont="1" applyBorder="1" applyAlignment="1" applyProtection="1">
      <alignment horizontal="center"/>
      <protection locked="0"/>
    </xf>
    <xf numFmtId="166" fontId="20" fillId="5" borderId="6" xfId="271" applyNumberFormat="1" applyFont="1" applyFill="1" applyBorder="1" applyAlignment="1" applyProtection="1">
      <alignment horizontal="left"/>
      <protection locked="0"/>
    </xf>
    <xf numFmtId="166" fontId="29" fillId="5" borderId="6" xfId="271" applyNumberForma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5" borderId="6" xfId="0" applyFill="1" applyBorder="1" applyProtection="1">
      <protection locked="0"/>
    </xf>
    <xf numFmtId="0" fontId="29" fillId="0" borderId="4" xfId="0" applyFont="1" applyBorder="1" applyAlignment="1" applyProtection="1">
      <alignment horizontal="left"/>
      <protection locked="0"/>
    </xf>
    <xf numFmtId="0" fontId="20" fillId="0" borderId="0" xfId="0" applyFont="1" applyAlignment="1">
      <alignment wrapText="1"/>
    </xf>
    <xf numFmtId="0" fontId="29" fillId="43" borderId="6" xfId="0" applyFont="1" applyFill="1" applyBorder="1" applyAlignment="1" applyProtection="1">
      <alignment horizontal="left"/>
      <protection locked="0"/>
    </xf>
    <xf numFmtId="0" fontId="20" fillId="0" borderId="6" xfId="0" applyFont="1" applyBorder="1" applyAlignment="1">
      <alignment horizontal="left"/>
    </xf>
    <xf numFmtId="0" fontId="0" fillId="0" borderId="0" xfId="0" applyAlignment="1">
      <alignment wrapText="1"/>
    </xf>
    <xf numFmtId="0" fontId="20" fillId="5" borderId="4" xfId="0" applyFont="1" applyFill="1" applyBorder="1" applyAlignment="1" applyProtection="1">
      <alignment horizontal="center"/>
      <protection locked="0"/>
    </xf>
    <xf numFmtId="0" fontId="155" fillId="0" borderId="0" xfId="0" applyFont="1" applyAlignment="1" applyProtection="1">
      <alignment horizontal="left" vertical="top" wrapText="1"/>
      <protection locked="0"/>
    </xf>
    <xf numFmtId="0" fontId="20" fillId="0" borderId="6" xfId="0" applyFont="1" applyBorder="1" applyAlignment="1" applyProtection="1">
      <alignment horizontal="left"/>
      <protection locked="0"/>
    </xf>
    <xf numFmtId="0" fontId="21" fillId="0" borderId="0" xfId="244" applyFill="1" applyAlignment="1" applyProtection="1">
      <alignment horizontal="left"/>
      <protection locked="0"/>
    </xf>
    <xf numFmtId="168" fontId="20" fillId="0" borderId="6" xfId="0" applyNumberFormat="1" applyFont="1" applyBorder="1" applyAlignment="1">
      <alignment horizontal="center"/>
    </xf>
    <xf numFmtId="1" fontId="0" fillId="5" borderId="4" xfId="0" applyNumberFormat="1" applyFill="1" applyBorder="1" applyAlignment="1" applyProtection="1">
      <alignment horizontal="center"/>
      <protection locked="0"/>
    </xf>
    <xf numFmtId="0" fontId="20" fillId="0" borderId="0" xfId="0" applyFont="1" applyAlignment="1">
      <alignment horizontal="left" vertical="top" wrapText="1"/>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20"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9"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6" fillId="3" borderId="0" xfId="0" applyFont="1" applyFill="1" applyAlignment="1">
      <alignment horizontal="center" vertical="center"/>
    </xf>
    <xf numFmtId="0" fontId="20" fillId="0" borderId="0" xfId="0" applyFont="1" applyAlignment="1" applyProtection="1">
      <alignment horizontal="left"/>
      <protection locked="0"/>
    </xf>
    <xf numFmtId="9" fontId="28" fillId="0" borderId="3" xfId="4494" applyFont="1" applyBorder="1" applyAlignment="1" applyProtection="1">
      <alignment horizontal="center"/>
    </xf>
    <xf numFmtId="9" fontId="28" fillId="0" borderId="5" xfId="4494" applyFont="1" applyBorder="1" applyAlignment="1" applyProtection="1">
      <alignment horizontal="center"/>
    </xf>
    <xf numFmtId="0" fontId="0" fillId="43" borderId="6" xfId="0" applyFill="1" applyBorder="1" applyAlignment="1" applyProtection="1">
      <alignment horizontal="center"/>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0" fillId="43" borderId="6" xfId="0" applyFont="1" applyFill="1" applyBorder="1" applyAlignment="1" applyProtection="1">
      <alignment vertical="center"/>
      <protection locked="0"/>
    </xf>
    <xf numFmtId="166" fontId="29" fillId="5" borderId="4" xfId="271" applyNumberFormat="1" applyFill="1" applyBorder="1" applyAlignment="1" applyProtection="1">
      <alignment horizontal="left"/>
      <protection locked="0"/>
    </xf>
    <xf numFmtId="0" fontId="29" fillId="0" borderId="6" xfId="0" applyFont="1" applyBorder="1" applyAlignment="1">
      <alignment horizontal="left"/>
    </xf>
    <xf numFmtId="10" fontId="29" fillId="5" borderId="4" xfId="0" applyNumberFormat="1" applyFont="1" applyFill="1" applyBorder="1" applyAlignment="1" applyProtection="1">
      <alignment horizontal="right"/>
      <protection locked="0"/>
    </xf>
    <xf numFmtId="0" fontId="2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3" xfId="271" applyFont="1" applyBorder="1" applyAlignment="1">
      <alignment horizontal="left"/>
    </xf>
    <xf numFmtId="0" fontId="20" fillId="0" borderId="4" xfId="271" applyFont="1" applyBorder="1" applyAlignment="1">
      <alignment horizontal="left"/>
    </xf>
    <xf numFmtId="0" fontId="20" fillId="0" borderId="5" xfId="271" applyFont="1" applyBorder="1" applyAlignment="1">
      <alignment horizontal="left"/>
    </xf>
    <xf numFmtId="180" fontId="0" fillId="0" borderId="6" xfId="0" applyNumberFormat="1" applyBorder="1" applyAlignment="1">
      <alignment horizontal="center"/>
    </xf>
    <xf numFmtId="168" fontId="20" fillId="5" borderId="3" xfId="0" applyNumberFormat="1" applyFont="1" applyFill="1" applyBorder="1" applyAlignment="1" applyProtection="1">
      <alignment horizontal="left" vertical="top"/>
      <protection locked="0"/>
    </xf>
    <xf numFmtId="168" fontId="29" fillId="5" borderId="4" xfId="0" applyNumberFormat="1" applyFont="1" applyFill="1" applyBorder="1" applyAlignment="1" applyProtection="1">
      <alignment horizontal="left" vertical="top"/>
      <protection locked="0"/>
    </xf>
    <xf numFmtId="168" fontId="29" fillId="5" borderId="5" xfId="0" applyNumberFormat="1" applyFont="1" applyFill="1" applyBorder="1" applyAlignment="1" applyProtection="1">
      <alignment horizontal="left" vertical="top"/>
      <protection locked="0"/>
    </xf>
    <xf numFmtId="168" fontId="0" fillId="5" borderId="6" xfId="0" applyNumberFormat="1" applyFill="1" applyBorder="1" applyAlignment="1" applyProtection="1">
      <alignment horizontal="right"/>
      <protection locked="0"/>
    </xf>
    <xf numFmtId="14" fontId="29"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20" fillId="0" borderId="0" xfId="0" applyFont="1" applyAlignment="1">
      <alignment horizontal="left" wrapText="1"/>
    </xf>
    <xf numFmtId="168" fontId="56" fillId="0" borderId="2" xfId="0" applyNumberFormat="1" applyFont="1" applyBorder="1" applyAlignment="1">
      <alignment horizontal="left" vertical="top" wrapText="1"/>
    </xf>
    <xf numFmtId="168" fontId="56" fillId="0" borderId="0" xfId="0" applyNumberFormat="1" applyFont="1" applyAlignment="1">
      <alignment horizontal="left"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5" borderId="11" xfId="0" applyFont="1" applyFill="1" applyBorder="1" applyAlignment="1" applyProtection="1">
      <alignment horizontal="left" wrapText="1"/>
      <protection locked="0"/>
    </xf>
    <xf numFmtId="168" fontId="0" fillId="0" borderId="11" xfId="0" applyNumberFormat="1" applyBorder="1" applyAlignment="1">
      <alignment horizontal="right"/>
    </xf>
    <xf numFmtId="0" fontId="29"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9" fillId="0" borderId="11" xfId="0" applyFont="1" applyBorder="1" applyAlignment="1">
      <alignment horizontal="center" vertical="top" wrapText="1"/>
    </xf>
    <xf numFmtId="0" fontId="29" fillId="0" borderId="1" xfId="0" applyFont="1" applyBorder="1" applyAlignment="1">
      <alignment horizontal="center" vertical="top" wrapText="1"/>
    </xf>
    <xf numFmtId="0" fontId="29" fillId="0" borderId="2" xfId="0" applyFont="1" applyBorder="1" applyAlignment="1">
      <alignment horizontal="center" vertical="top" wrapText="1"/>
    </xf>
    <xf numFmtId="0" fontId="29" fillId="0" borderId="7" xfId="0" applyFont="1" applyBorder="1" applyAlignment="1">
      <alignment horizontal="center" vertical="top" wrapText="1"/>
    </xf>
    <xf numFmtId="0" fontId="29" fillId="0" borderId="8" xfId="0" applyFont="1" applyBorder="1" applyAlignment="1">
      <alignment horizontal="center" vertical="top" wrapText="1"/>
    </xf>
    <xf numFmtId="0" fontId="29" fillId="0" borderId="0" xfId="0" applyFont="1" applyAlignment="1">
      <alignment horizontal="center" vertical="top" wrapText="1"/>
    </xf>
    <xf numFmtId="0" fontId="29" fillId="0" borderId="12" xfId="0" applyFont="1" applyBorder="1" applyAlignment="1">
      <alignment horizontal="center" vertical="top" wrapText="1"/>
    </xf>
    <xf numFmtId="0" fontId="29" fillId="0" borderId="9" xfId="0" applyFont="1" applyBorder="1" applyAlignment="1">
      <alignment horizontal="center" vertical="top" wrapText="1"/>
    </xf>
    <xf numFmtId="0" fontId="29" fillId="0" borderId="6" xfId="0" applyFont="1" applyBorder="1" applyAlignment="1">
      <alignment horizontal="center" vertical="top" wrapText="1"/>
    </xf>
    <xf numFmtId="0" fontId="29" fillId="0" borderId="10"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5" fontId="27" fillId="0" borderId="3" xfId="271" applyNumberFormat="1" applyFont="1" applyBorder="1" applyAlignment="1">
      <alignment horizontal="center"/>
    </xf>
    <xf numFmtId="165" fontId="27" fillId="0" borderId="4" xfId="271" applyNumberFormat="1" applyFont="1" applyBorder="1" applyAlignment="1">
      <alignment horizontal="center"/>
    </xf>
    <xf numFmtId="165" fontId="27" fillId="0" borderId="5" xfId="271" applyNumberFormat="1" applyFont="1" applyBorder="1" applyAlignment="1">
      <alignment horizontal="center"/>
    </xf>
    <xf numFmtId="168" fontId="158" fillId="0" borderId="0" xfId="0" applyNumberFormat="1" applyFont="1" applyAlignment="1">
      <alignment horizontal="center" vertical="center" wrapText="1"/>
    </xf>
    <xf numFmtId="168" fontId="0" fillId="5" borderId="11" xfId="0" applyNumberFormat="1" applyFill="1" applyBorder="1" applyAlignment="1" applyProtection="1">
      <alignment horizontal="center"/>
      <protection locked="0"/>
    </xf>
    <xf numFmtId="0" fontId="27"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8" fillId="5" borderId="3" xfId="0" applyNumberFormat="1" applyFont="1" applyFill="1" applyBorder="1" applyAlignment="1" applyProtection="1">
      <alignment horizontal="left"/>
      <protection locked="0"/>
    </xf>
    <xf numFmtId="164" fontId="28" fillId="5" borderId="4" xfId="0" applyNumberFormat="1" applyFont="1" applyFill="1" applyBorder="1" applyAlignment="1" applyProtection="1">
      <alignment horizontal="left"/>
      <protection locked="0"/>
    </xf>
    <xf numFmtId="164" fontId="28"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7" fillId="5" borderId="11"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9" fillId="0" borderId="11" xfId="0" applyFont="1" applyBorder="1" applyAlignment="1">
      <alignment horizontal="center"/>
    </xf>
    <xf numFmtId="0" fontId="20" fillId="0" borderId="1"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175" fontId="20" fillId="43" borderId="3" xfId="0" applyNumberFormat="1" applyFont="1" applyFill="1" applyBorder="1" applyAlignment="1" applyProtection="1">
      <alignment horizontal="center"/>
      <protection locked="0"/>
    </xf>
    <xf numFmtId="175" fontId="20" fillId="43" borderId="4" xfId="0" applyNumberFormat="1" applyFont="1" applyFill="1" applyBorder="1" applyAlignment="1" applyProtection="1">
      <alignment horizontal="center"/>
      <protection locked="0"/>
    </xf>
    <xf numFmtId="175" fontId="20" fillId="43" borderId="5" xfId="0" applyNumberFormat="1" applyFont="1" applyFill="1" applyBorder="1" applyAlignment="1" applyProtection="1">
      <alignment horizontal="center"/>
      <protection locked="0"/>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0" xfId="0" applyFont="1" applyAlignment="1">
      <alignment horizontal="center" vertical="center" wrapText="1"/>
    </xf>
    <xf numFmtId="0" fontId="36" fillId="0" borderId="12"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10" xfId="0" applyFont="1" applyBorder="1" applyAlignment="1">
      <alignment horizontal="center" vertical="center" wrapText="1"/>
    </xf>
    <xf numFmtId="172" fontId="27" fillId="0" borderId="11" xfId="0" applyNumberFormat="1" applyFont="1" applyBorder="1" applyAlignment="1">
      <alignment horizontal="center" vertical="center" wrapText="1"/>
    </xf>
    <xf numFmtId="0" fontId="27" fillId="0" borderId="11" xfId="0" applyFont="1" applyBorder="1" applyAlignment="1">
      <alignment horizontal="center" vertical="center" wrapText="1"/>
    </xf>
    <xf numFmtId="0" fontId="27" fillId="0" borderId="11" xfId="0" applyFont="1" applyBorder="1" applyAlignment="1">
      <alignment horizontal="center" vertical="center"/>
    </xf>
    <xf numFmtId="0" fontId="26" fillId="3" borderId="0" xfId="0" applyFont="1" applyFill="1" applyAlignment="1">
      <alignment horizontal="center" vertical="center" wrapText="1"/>
    </xf>
    <xf numFmtId="0" fontId="27" fillId="0" borderId="9" xfId="0" applyFont="1" applyBorder="1" applyAlignment="1">
      <alignment horizontal="right"/>
    </xf>
    <xf numFmtId="0" fontId="27" fillId="0" borderId="10" xfId="0" applyFont="1" applyBorder="1" applyAlignment="1">
      <alignment horizontal="right"/>
    </xf>
    <xf numFmtId="0" fontId="20" fillId="0" borderId="3" xfId="543" applyBorder="1" applyAlignment="1">
      <alignment horizontal="center"/>
    </xf>
    <xf numFmtId="0" fontId="20" fillId="0" borderId="4" xfId="543" applyBorder="1" applyAlignment="1">
      <alignment horizontal="center"/>
    </xf>
    <xf numFmtId="0" fontId="20" fillId="0" borderId="5" xfId="543" applyBorder="1" applyAlignment="1">
      <alignment horizontal="center"/>
    </xf>
    <xf numFmtId="0" fontId="39" fillId="5" borderId="3" xfId="543" applyFont="1" applyFill="1" applyBorder="1" applyAlignment="1">
      <alignment horizontal="center"/>
    </xf>
    <xf numFmtId="0" fontId="39" fillId="5" borderId="4" xfId="543" applyFont="1" applyFill="1" applyBorder="1" applyAlignment="1">
      <alignment horizontal="center"/>
    </xf>
    <xf numFmtId="0" fontId="39" fillId="5" borderId="5" xfId="543" applyFont="1" applyFill="1" applyBorder="1" applyAlignment="1">
      <alignment horizontal="center"/>
    </xf>
    <xf numFmtId="49" fontId="20" fillId="5" borderId="3" xfId="543" applyNumberFormat="1" applyFill="1" applyBorder="1" applyAlignment="1">
      <alignment horizontal="center"/>
    </xf>
    <xf numFmtId="49" fontId="20" fillId="5" borderId="5" xfId="543" applyNumberFormat="1" applyFill="1" applyBorder="1" applyAlignment="1">
      <alignment horizontal="center"/>
    </xf>
    <xf numFmtId="171" fontId="20" fillId="0" borderId="0" xfId="543" applyNumberFormat="1" applyAlignment="1">
      <alignment horizontal="center"/>
    </xf>
    <xf numFmtId="168" fontId="0" fillId="0" borderId="11" xfId="0" applyNumberFormat="1" applyBorder="1" applyAlignment="1">
      <alignment horizontal="center"/>
    </xf>
    <xf numFmtId="2" fontId="20" fillId="0" borderId="0" xfId="543" applyNumberFormat="1" applyAlignment="1">
      <alignment horizontal="center"/>
    </xf>
    <xf numFmtId="0" fontId="20" fillId="0" borderId="0" xfId="543" applyAlignment="1">
      <alignment horizontal="center"/>
    </xf>
    <xf numFmtId="171" fontId="20" fillId="0" borderId="0" xfId="543" applyNumberFormat="1" applyAlignment="1">
      <alignment horizontal="right"/>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9" fontId="20" fillId="0" borderId="0" xfId="543" applyNumberForma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5" borderId="3" xfId="0" applyFont="1" applyFill="1" applyBorder="1" applyProtection="1">
      <protection locked="0"/>
    </xf>
    <xf numFmtId="0" fontId="29" fillId="0" borderId="4" xfId="0" applyFont="1" applyBorder="1" applyProtection="1">
      <protection locked="0"/>
    </xf>
    <xf numFmtId="0" fontId="29"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20" fillId="5" borderId="10" xfId="0" applyNumberFormat="1" applyFont="1" applyFill="1" applyBorder="1" applyAlignment="1" applyProtection="1">
      <alignment horizontal="right"/>
      <protection locked="0"/>
    </xf>
    <xf numFmtId="168" fontId="20" fillId="5" borderId="13" xfId="0" applyNumberFormat="1" applyFont="1" applyFill="1" applyBorder="1" applyAlignment="1" applyProtection="1">
      <alignment horizontal="right"/>
      <protection locked="0"/>
    </xf>
    <xf numFmtId="168" fontId="20" fillId="5" borderId="3"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68" fontId="20" fillId="5" borderId="5" xfId="0" applyNumberFormat="1"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64" fontId="39" fillId="5" borderId="4" xfId="0" applyNumberFormat="1" applyFont="1" applyFill="1" applyBorder="1" applyAlignment="1" applyProtection="1">
      <alignment horizontal="left"/>
      <protection locked="0"/>
    </xf>
    <xf numFmtId="164" fontId="39" fillId="5" borderId="5"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5" borderId="3" xfId="0" applyFon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0" fontId="27" fillId="5" borderId="5" xfId="0" applyFont="1" applyFill="1" applyBorder="1" applyAlignment="1" applyProtection="1">
      <alignment horizontal="right"/>
      <protection locked="0"/>
    </xf>
    <xf numFmtId="0" fontId="56" fillId="5" borderId="3" xfId="0" applyFont="1" applyFill="1" applyBorder="1" applyAlignment="1" applyProtection="1">
      <alignment horizontal="right"/>
      <protection locked="0"/>
    </xf>
    <xf numFmtId="0" fontId="56" fillId="5" borderId="4" xfId="0" applyFont="1" applyFill="1" applyBorder="1" applyAlignment="1" applyProtection="1">
      <alignment horizontal="right"/>
      <protection locked="0"/>
    </xf>
    <xf numFmtId="0" fontId="56" fillId="5" borderId="5" xfId="0" applyFont="1" applyFill="1" applyBorder="1" applyAlignment="1" applyProtection="1">
      <alignment horizontal="right"/>
      <protection locked="0"/>
    </xf>
    <xf numFmtId="0" fontId="20" fillId="0" borderId="3" xfId="0" applyFont="1" applyBorder="1"/>
    <xf numFmtId="0" fontId="20" fillId="0" borderId="4" xfId="0" applyFont="1" applyBorder="1"/>
    <xf numFmtId="0" fontId="20" fillId="0" borderId="5" xfId="0" applyFont="1" applyBorder="1"/>
    <xf numFmtId="1" fontId="20" fillId="0" borderId="3" xfId="0" applyNumberFormat="1" applyFont="1" applyBorder="1" applyAlignment="1">
      <alignment horizontal="center"/>
    </xf>
    <xf numFmtId="1" fontId="29" fillId="0" borderId="4" xfId="0" applyNumberFormat="1" applyFont="1" applyBorder="1" applyAlignment="1">
      <alignment horizontal="center"/>
    </xf>
    <xf numFmtId="1" fontId="29" fillId="0" borderId="5" xfId="0" applyNumberFormat="1" applyFont="1" applyBorder="1" applyAlignment="1">
      <alignment horizontal="center"/>
    </xf>
    <xf numFmtId="0" fontId="29" fillId="5" borderId="6" xfId="271" applyFill="1" applyBorder="1" applyProtection="1">
      <protection locked="0"/>
    </xf>
    <xf numFmtId="168" fontId="20" fillId="0" borderId="11" xfId="543" applyNumberFormat="1" applyBorder="1" applyAlignment="1">
      <alignment horizontal="center"/>
    </xf>
    <xf numFmtId="168" fontId="20" fillId="10" borderId="3" xfId="543" applyNumberFormat="1" applyFill="1" applyBorder="1" applyAlignment="1">
      <alignment horizontal="center"/>
    </xf>
    <xf numFmtId="168" fontId="20" fillId="10" borderId="4" xfId="543" applyNumberFormat="1" applyFill="1" applyBorder="1" applyAlignment="1">
      <alignment horizontal="center"/>
    </xf>
    <xf numFmtId="168" fontId="20" fillId="10" borderId="5" xfId="543" applyNumberFormat="1" applyFill="1" applyBorder="1" applyAlignment="1">
      <alignment horizontal="center"/>
    </xf>
    <xf numFmtId="0" fontId="20" fillId="5" borderId="3"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 fontId="20" fillId="0" borderId="3" xfId="543" applyNumberFormat="1" applyBorder="1" applyAlignment="1">
      <alignment horizontal="center"/>
    </xf>
    <xf numFmtId="1" fontId="20" fillId="0" borderId="4" xfId="543" applyNumberFormat="1" applyBorder="1" applyAlignment="1">
      <alignment horizontal="center"/>
    </xf>
    <xf numFmtId="1" fontId="20" fillId="0" borderId="5" xfId="543" applyNumberFormat="1" applyBorder="1" applyAlignment="1">
      <alignment horizontal="center"/>
    </xf>
    <xf numFmtId="0" fontId="27" fillId="0" borderId="3" xfId="543" applyFont="1" applyBorder="1" applyAlignment="1">
      <alignment horizontal="right"/>
    </xf>
    <xf numFmtId="0" fontId="27" fillId="0" borderId="4" xfId="543" applyFont="1" applyBorder="1" applyAlignment="1">
      <alignment horizontal="right"/>
    </xf>
    <xf numFmtId="0" fontId="27" fillId="0" borderId="5" xfId="543" applyFont="1" applyBorder="1" applyAlignment="1">
      <alignment horizontal="right"/>
    </xf>
    <xf numFmtId="0" fontId="39" fillId="5" borderId="3" xfId="543" applyFont="1" applyFill="1" applyBorder="1" applyAlignment="1" applyProtection="1">
      <alignment horizontal="center"/>
      <protection locked="0"/>
    </xf>
    <xf numFmtId="0" fontId="39" fillId="5" borderId="5" xfId="543" applyFont="1" applyFill="1" applyBorder="1" applyAlignment="1" applyProtection="1">
      <alignment horizontal="center"/>
      <protection locked="0"/>
    </xf>
    <xf numFmtId="0" fontId="20" fillId="0" borderId="8" xfId="0" applyFont="1" applyBorder="1" applyAlignment="1">
      <alignment horizontal="left" wrapText="1"/>
    </xf>
    <xf numFmtId="0" fontId="20" fillId="0" borderId="12" xfId="0" applyFont="1" applyBorder="1" applyAlignment="1">
      <alignment horizontal="left" wrapText="1"/>
    </xf>
    <xf numFmtId="0" fontId="20" fillId="0" borderId="9" xfId="0" applyFont="1" applyBorder="1" applyAlignment="1">
      <alignment horizontal="left" wrapText="1"/>
    </xf>
    <xf numFmtId="0" fontId="20" fillId="0" borderId="6" xfId="0" applyFont="1" applyBorder="1" applyAlignment="1">
      <alignment horizontal="left" wrapText="1"/>
    </xf>
    <xf numFmtId="0" fontId="20" fillId="0" borderId="10" xfId="0" applyFont="1" applyBorder="1" applyAlignment="1">
      <alignment horizontal="left" wrapText="1"/>
    </xf>
    <xf numFmtId="0" fontId="47" fillId="0" borderId="8" xfId="543" applyFont="1" applyBorder="1" applyAlignment="1">
      <alignment horizontal="center" vertical="center" wrapText="1"/>
    </xf>
    <xf numFmtId="0" fontId="47" fillId="0" borderId="0" xfId="543" applyFont="1" applyAlignment="1">
      <alignment horizontal="center" vertical="center" wrapText="1"/>
    </xf>
    <xf numFmtId="0" fontId="47" fillId="0" borderId="12" xfId="543" applyFont="1" applyBorder="1" applyAlignment="1">
      <alignment horizontal="center" vertical="center" wrapText="1"/>
    </xf>
    <xf numFmtId="0" fontId="20" fillId="0" borderId="8" xfId="543" applyBorder="1" applyAlignment="1">
      <alignment horizontal="left" vertical="center" wrapText="1"/>
    </xf>
    <xf numFmtId="0" fontId="20" fillId="0" borderId="0" xfId="543" applyAlignment="1">
      <alignment horizontal="left" vertical="center" wrapText="1"/>
    </xf>
    <xf numFmtId="0" fontId="20" fillId="0" borderId="12" xfId="543" applyBorder="1" applyAlignment="1">
      <alignment horizontal="left" vertical="center" wrapText="1"/>
    </xf>
    <xf numFmtId="0" fontId="20" fillId="0" borderId="9" xfId="543" applyBorder="1" applyAlignment="1">
      <alignment horizontal="left" vertical="center" wrapText="1"/>
    </xf>
    <xf numFmtId="0" fontId="20" fillId="0" borderId="6" xfId="543" applyBorder="1" applyAlignment="1">
      <alignment horizontal="left" vertical="center" wrapText="1"/>
    </xf>
    <xf numFmtId="0" fontId="20" fillId="0" borderId="10" xfId="543" applyBorder="1" applyAlignment="1">
      <alignment horizontal="left" vertical="center" wrapText="1"/>
    </xf>
    <xf numFmtId="0" fontId="27" fillId="0" borderId="8" xfId="543" applyFont="1" applyBorder="1" applyAlignment="1">
      <alignment horizontal="left" vertical="center" wrapText="1"/>
    </xf>
    <xf numFmtId="0" fontId="27" fillId="0" borderId="0" xfId="543" applyFont="1" applyAlignment="1">
      <alignment horizontal="left" vertical="center" wrapText="1"/>
    </xf>
    <xf numFmtId="0" fontId="27" fillId="0" borderId="12" xfId="543" applyFont="1" applyBorder="1" applyAlignment="1">
      <alignment horizontal="left" vertical="center" wrapText="1"/>
    </xf>
    <xf numFmtId="14" fontId="0" fillId="5" borderId="3" xfId="0" applyNumberFormat="1" applyFill="1" applyBorder="1" applyAlignment="1" applyProtection="1">
      <alignment horizontal="right"/>
      <protection locked="0"/>
    </xf>
    <xf numFmtId="0" fontId="29" fillId="0" borderId="3" xfId="0" applyFont="1" applyBorder="1" applyAlignment="1">
      <alignment horizontal="left"/>
    </xf>
    <xf numFmtId="0" fontId="0" fillId="5" borderId="3" xfId="0" quotePrefix="1" applyFill="1" applyBorder="1" applyAlignment="1" applyProtection="1">
      <alignment horizontal="right"/>
      <protection locked="0"/>
    </xf>
    <xf numFmtId="168" fontId="20" fillId="5" borderId="3" xfId="0" applyNumberFormat="1" applyFont="1" applyFill="1" applyBorder="1" applyAlignment="1" applyProtection="1">
      <alignment horizontal="left"/>
      <protection locked="0"/>
    </xf>
    <xf numFmtId="168" fontId="20" fillId="5" borderId="4" xfId="0" applyNumberFormat="1" applyFont="1" applyFill="1" applyBorder="1" applyAlignment="1" applyProtection="1">
      <alignment horizontal="left"/>
      <protection locked="0"/>
    </xf>
    <xf numFmtId="168" fontId="20" fillId="5" borderId="5" xfId="0" applyNumberFormat="1" applyFont="1" applyFill="1" applyBorder="1" applyAlignment="1" applyProtection="1">
      <alignment horizontal="left"/>
      <protection locked="0"/>
    </xf>
    <xf numFmtId="0" fontId="27" fillId="0" borderId="1" xfId="0" applyFont="1" applyBorder="1" applyAlignment="1">
      <alignment horizontal="center"/>
    </xf>
    <xf numFmtId="0" fontId="27" fillId="0" borderId="2" xfId="0" applyFont="1" applyBorder="1" applyAlignment="1">
      <alignment horizontal="center"/>
    </xf>
    <xf numFmtId="0" fontId="27" fillId="0" borderId="7" xfId="0" applyFon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9" fontId="0" fillId="5" borderId="3" xfId="0" applyNumberFormat="1" applyFill="1" applyBorder="1" applyAlignment="1" applyProtection="1">
      <alignment horizontal="right"/>
      <protection locked="0"/>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154" fillId="0" borderId="8" xfId="543" applyFont="1" applyBorder="1" applyAlignment="1">
      <alignment horizontal="center" vertical="center" wrapText="1"/>
    </xf>
    <xf numFmtId="0" fontId="154" fillId="0" borderId="0" xfId="543" applyFont="1" applyAlignment="1">
      <alignment horizontal="center" vertical="center" wrapText="1"/>
    </xf>
    <xf numFmtId="0" fontId="154" fillId="0" borderId="12" xfId="543" applyFont="1" applyBorder="1" applyAlignment="1">
      <alignment horizontal="center" vertical="center" wrapText="1"/>
    </xf>
    <xf numFmtId="0" fontId="27" fillId="0" borderId="1" xfId="543" applyFont="1" applyBorder="1" applyAlignment="1">
      <alignment horizontal="left" vertical="center" wrapText="1"/>
    </xf>
    <xf numFmtId="0" fontId="27" fillId="0" borderId="2" xfId="543" applyFont="1" applyBorder="1" applyAlignment="1">
      <alignment horizontal="left" vertical="center" wrapText="1"/>
    </xf>
    <xf numFmtId="0" fontId="27" fillId="0" borderId="7" xfId="543" applyFont="1" applyBorder="1" applyAlignment="1">
      <alignment horizontal="left"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39" fillId="5" borderId="3" xfId="0" applyNumberFormat="1" applyFont="1" applyFill="1" applyBorder="1" applyAlignment="1" applyProtection="1">
      <alignment horizontal="left"/>
      <protection locked="0"/>
    </xf>
    <xf numFmtId="0" fontId="27" fillId="0" borderId="0" xfId="0" applyFont="1" applyAlignment="1">
      <alignment horizontal="center" vertical="center"/>
    </xf>
    <xf numFmtId="0" fontId="27" fillId="0" borderId="2" xfId="0" applyFont="1" applyBorder="1" applyAlignment="1">
      <alignment horizontal="right"/>
    </xf>
    <xf numFmtId="0" fontId="27" fillId="0" borderId="7" xfId="0" applyFont="1" applyBorder="1" applyAlignment="1">
      <alignment horizontal="right"/>
    </xf>
    <xf numFmtId="168" fontId="0" fillId="0" borderId="3" xfId="0" applyNumberFormat="1" applyBorder="1"/>
    <xf numFmtId="168" fontId="0" fillId="0" borderId="4" xfId="0" applyNumberFormat="1" applyBorder="1"/>
    <xf numFmtId="168" fontId="0" fillId="0" borderId="5" xfId="0" applyNumberFormat="1" applyBorder="1"/>
    <xf numFmtId="168" fontId="20" fillId="0" borderId="1" xfId="543" applyNumberFormat="1" applyBorder="1" applyAlignment="1">
      <alignment horizontal="center" vertical="center"/>
    </xf>
    <xf numFmtId="168" fontId="20" fillId="0" borderId="2" xfId="543" applyNumberFormat="1" applyBorder="1" applyAlignment="1">
      <alignment horizontal="center" vertical="center"/>
    </xf>
    <xf numFmtId="168" fontId="20" fillId="0" borderId="7" xfId="543" applyNumberFormat="1" applyBorder="1" applyAlignment="1">
      <alignment horizontal="center" vertical="center"/>
    </xf>
    <xf numFmtId="168" fontId="20" fillId="0" borderId="8" xfId="543" applyNumberFormat="1" applyBorder="1" applyAlignment="1">
      <alignment horizontal="center" vertical="center"/>
    </xf>
    <xf numFmtId="168" fontId="20" fillId="0" borderId="0" xfId="543" applyNumberFormat="1" applyAlignment="1">
      <alignment horizontal="center" vertical="center"/>
    </xf>
    <xf numFmtId="168" fontId="20" fillId="0" borderId="12" xfId="543" applyNumberFormat="1" applyBorder="1" applyAlignment="1">
      <alignment horizontal="center" vertical="center"/>
    </xf>
    <xf numFmtId="0" fontId="20" fillId="0" borderId="8" xfId="543" applyBorder="1" applyAlignment="1">
      <alignment horizontal="left" vertical="top" wrapText="1"/>
    </xf>
    <xf numFmtId="0" fontId="20" fillId="0" borderId="0" xfId="543" applyAlignment="1">
      <alignment horizontal="left" vertical="top" wrapText="1"/>
    </xf>
    <xf numFmtId="0" fontId="20" fillId="0" borderId="12" xfId="543" applyBorder="1" applyAlignment="1">
      <alignment horizontal="left" vertical="top" wrapText="1"/>
    </xf>
    <xf numFmtId="0" fontId="20" fillId="0" borderId="9" xfId="543" applyBorder="1" applyAlignment="1">
      <alignment horizontal="left" vertical="top" wrapText="1"/>
    </xf>
    <xf numFmtId="0" fontId="20" fillId="0" borderId="6" xfId="543" applyBorder="1" applyAlignment="1">
      <alignment horizontal="left" vertical="top" wrapText="1"/>
    </xf>
    <xf numFmtId="0" fontId="20" fillId="0" borderId="10" xfId="543" applyBorder="1" applyAlignment="1">
      <alignment horizontal="left" vertical="top" wrapText="1"/>
    </xf>
    <xf numFmtId="168" fontId="20" fillId="0" borderId="9" xfId="543" applyNumberFormat="1" applyBorder="1" applyAlignment="1">
      <alignment horizontal="center" vertical="center"/>
    </xf>
    <xf numFmtId="168" fontId="20" fillId="0" borderId="6" xfId="543" applyNumberFormat="1" applyBorder="1" applyAlignment="1">
      <alignment horizontal="center" vertical="center"/>
    </xf>
    <xf numFmtId="168" fontId="20" fillId="0" borderId="10" xfId="543" applyNumberFormat="1" applyBorder="1" applyAlignment="1">
      <alignment horizontal="center" vertical="center"/>
    </xf>
    <xf numFmtId="0" fontId="20" fillId="2" borderId="3" xfId="543" applyFill="1" applyBorder="1" applyAlignment="1">
      <alignment horizontal="center"/>
    </xf>
    <xf numFmtId="0" fontId="20" fillId="2" borderId="4" xfId="543" applyFill="1" applyBorder="1" applyAlignment="1">
      <alignment horizontal="center"/>
    </xf>
    <xf numFmtId="0" fontId="20" fillId="2" borderId="5" xfId="543" applyFill="1" applyBorder="1" applyAlignment="1">
      <alignment horizontal="center"/>
    </xf>
    <xf numFmtId="0" fontId="40" fillId="0" borderId="1" xfId="543" applyFont="1" applyBorder="1" applyAlignment="1">
      <alignment horizontal="right"/>
    </xf>
    <xf numFmtId="0" fontId="40" fillId="0" borderId="2" xfId="543" applyFont="1" applyBorder="1" applyAlignment="1">
      <alignment horizontal="right"/>
    </xf>
    <xf numFmtId="0" fontId="40" fillId="0" borderId="7" xfId="543" applyFont="1" applyBorder="1" applyAlignment="1">
      <alignment horizontal="right"/>
    </xf>
    <xf numFmtId="0" fontId="39" fillId="0" borderId="3" xfId="543" applyFont="1" applyBorder="1" applyAlignment="1">
      <alignment horizontal="center"/>
    </xf>
    <xf numFmtId="0" fontId="39" fillId="0" borderId="5" xfId="543" applyFont="1" applyBorder="1" applyAlignment="1">
      <alignment horizontal="center"/>
    </xf>
    <xf numFmtId="0" fontId="39" fillId="5" borderId="9" xfId="543" applyFont="1" applyFill="1" applyBorder="1" applyAlignment="1" applyProtection="1">
      <alignment horizontal="center"/>
      <protection locked="0"/>
    </xf>
    <xf numFmtId="0" fontId="39" fillId="5" borderId="10" xfId="543" applyFont="1" applyFill="1" applyBorder="1" applyAlignment="1" applyProtection="1">
      <alignment horizontal="center"/>
      <protection locked="0"/>
    </xf>
    <xf numFmtId="0" fontId="27" fillId="10" borderId="3" xfId="543" applyFont="1" applyFill="1" applyBorder="1" applyAlignment="1">
      <alignment horizontal="center"/>
    </xf>
    <xf numFmtId="0" fontId="27" fillId="10" borderId="4" xfId="543" applyFont="1" applyFill="1" applyBorder="1" applyAlignment="1">
      <alignment horizontal="center"/>
    </xf>
    <xf numFmtId="0" fontId="27" fillId="10" borderId="5" xfId="543" applyFont="1" applyFill="1" applyBorder="1" applyAlignment="1">
      <alignment horizontal="center"/>
    </xf>
    <xf numFmtId="0" fontId="39" fillId="5" borderId="3" xfId="543" applyFont="1" applyFill="1" applyBorder="1" applyAlignment="1" applyProtection="1">
      <alignment horizontal="center" vertical="top"/>
      <protection locked="0"/>
    </xf>
    <xf numFmtId="0" fontId="39" fillId="5" borderId="5" xfId="543" applyFont="1" applyFill="1" applyBorder="1" applyAlignment="1" applyProtection="1">
      <alignment horizontal="center" vertical="top"/>
      <protection locked="0"/>
    </xf>
    <xf numFmtId="0" fontId="27" fillId="0" borderId="1" xfId="543" applyFont="1" applyBorder="1" applyAlignment="1">
      <alignment horizontal="left" vertical="top" wrapText="1"/>
    </xf>
    <xf numFmtId="0" fontId="27" fillId="0" borderId="2" xfId="543" applyFont="1" applyBorder="1" applyAlignment="1">
      <alignment horizontal="left" vertical="top" wrapText="1"/>
    </xf>
    <xf numFmtId="0" fontId="27" fillId="0" borderId="7" xfId="543" applyFont="1" applyBorder="1" applyAlignment="1">
      <alignment horizontal="left" vertical="top" wrapText="1"/>
    </xf>
    <xf numFmtId="0" fontId="27" fillId="0" borderId="8" xfId="543" applyFont="1" applyBorder="1" applyAlignment="1">
      <alignment horizontal="left" vertical="top" wrapText="1"/>
    </xf>
    <xf numFmtId="0" fontId="27" fillId="0" borderId="0" xfId="543" applyFont="1" applyAlignment="1">
      <alignment horizontal="left" vertical="top" wrapText="1"/>
    </xf>
    <xf numFmtId="0" fontId="27" fillId="0" borderId="12" xfId="543" applyFont="1" applyBorder="1" applyAlignment="1">
      <alignment horizontal="left" vertical="top" wrapText="1"/>
    </xf>
    <xf numFmtId="182" fontId="28" fillId="43" borderId="11" xfId="8721" applyNumberFormat="1" applyFont="1" applyFill="1" applyBorder="1" applyAlignment="1" applyProtection="1">
      <alignment horizontal="center" vertical="center" wrapText="1"/>
      <protection locked="0"/>
    </xf>
    <xf numFmtId="0" fontId="40" fillId="0" borderId="4" xfId="543" applyFont="1" applyBorder="1" applyAlignment="1">
      <alignment horizontal="right" vertical="top" wrapText="1"/>
    </xf>
    <xf numFmtId="0" fontId="40" fillId="0" borderId="5" xfId="543" applyFont="1" applyBorder="1" applyAlignment="1">
      <alignment horizontal="right" vertical="top" wrapText="1"/>
    </xf>
    <xf numFmtId="0" fontId="28" fillId="0" borderId="3" xfId="543" applyFont="1" applyBorder="1" applyAlignment="1">
      <alignment horizontal="center"/>
    </xf>
    <xf numFmtId="0" fontId="28" fillId="0" borderId="5" xfId="543" applyFont="1" applyBorder="1" applyAlignment="1">
      <alignment horizontal="center"/>
    </xf>
    <xf numFmtId="1" fontId="28" fillId="0" borderId="3" xfId="543" applyNumberFormat="1" applyFont="1" applyBorder="1" applyAlignment="1">
      <alignment horizontal="center"/>
    </xf>
    <xf numFmtId="1" fontId="28" fillId="0" borderId="5" xfId="543" applyNumberFormat="1" applyFont="1" applyBorder="1" applyAlignment="1">
      <alignment horizontal="center"/>
    </xf>
    <xf numFmtId="0" fontId="41" fillId="0" borderId="3" xfId="543" applyFont="1" applyBorder="1" applyAlignment="1">
      <alignment horizontal="center"/>
    </xf>
    <xf numFmtId="0" fontId="41" fillId="0" borderId="4" xfId="543" applyFont="1" applyBorder="1" applyAlignment="1">
      <alignment horizontal="center"/>
    </xf>
    <xf numFmtId="0" fontId="41" fillId="0" borderId="5" xfId="543" applyFont="1" applyBorder="1" applyAlignment="1">
      <alignment horizontal="center"/>
    </xf>
    <xf numFmtId="0" fontId="28" fillId="5" borderId="3" xfId="0" applyFont="1" applyFill="1" applyBorder="1" applyAlignment="1" applyProtection="1">
      <alignment horizontal="left"/>
      <protection locked="0"/>
    </xf>
    <xf numFmtId="0" fontId="28" fillId="5" borderId="4" xfId="0" applyFont="1" applyFill="1" applyBorder="1" applyAlignment="1" applyProtection="1">
      <alignment horizontal="left"/>
      <protection locked="0"/>
    </xf>
    <xf numFmtId="0" fontId="28" fillId="5" borderId="5" xfId="0" applyFont="1" applyFill="1" applyBorder="1" applyAlignment="1" applyProtection="1">
      <alignment horizontal="left"/>
      <protection locked="0"/>
    </xf>
    <xf numFmtId="168" fontId="27" fillId="0" borderId="3" xfId="543" applyNumberFormat="1" applyFont="1" applyBorder="1" applyAlignment="1">
      <alignment horizontal="center" vertical="center"/>
    </xf>
    <xf numFmtId="168" fontId="27" fillId="0" borderId="4" xfId="543" applyNumberFormat="1" applyFont="1" applyBorder="1" applyAlignment="1">
      <alignment horizontal="center" vertical="center"/>
    </xf>
    <xf numFmtId="168" fontId="27" fillId="0" borderId="5" xfId="543" applyNumberFormat="1" applyFont="1" applyBorder="1" applyAlignment="1">
      <alignment horizontal="center" vertical="center"/>
    </xf>
    <xf numFmtId="0" fontId="20" fillId="43" borderId="11" xfId="0" applyFont="1" applyFill="1" applyBorder="1" applyAlignment="1" applyProtection="1">
      <alignment horizontal="center"/>
      <protection locked="0"/>
    </xf>
    <xf numFmtId="0" fontId="27" fillId="0" borderId="1" xfId="0" applyFont="1" applyBorder="1" applyAlignment="1">
      <alignment horizontal="center" wrapText="1"/>
    </xf>
    <xf numFmtId="168" fontId="2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5" borderId="3" xfId="543" applyFill="1" applyBorder="1" applyAlignment="1" applyProtection="1">
      <alignment horizontal="left" vertical="top" wrapText="1"/>
      <protection locked="0"/>
    </xf>
    <xf numFmtId="0" fontId="29" fillId="5" borderId="4" xfId="543" applyFont="1" applyFill="1" applyBorder="1" applyAlignment="1" applyProtection="1">
      <alignment horizontal="left" vertical="top" wrapText="1"/>
      <protection locked="0"/>
    </xf>
    <xf numFmtId="0" fontId="29" fillId="5" borderId="5" xfId="543" applyFont="1" applyFill="1" applyBorder="1" applyAlignment="1" applyProtection="1">
      <alignment horizontal="left" vertical="top"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57" fillId="0" borderId="1" xfId="0" applyFont="1" applyBorder="1" applyAlignment="1">
      <alignment horizontal="center" vertical="center" wrapText="1"/>
    </xf>
    <xf numFmtId="0" fontId="57" fillId="0" borderId="2" xfId="0" applyFont="1" applyBorder="1" applyAlignment="1">
      <alignment horizontal="center" vertical="center" wrapText="1"/>
    </xf>
    <xf numFmtId="0" fontId="57" fillId="0" borderId="7"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0" xfId="0" applyFont="1" applyAlignment="1">
      <alignment horizontal="center" vertical="center" wrapText="1"/>
    </xf>
    <xf numFmtId="0" fontId="57" fillId="0" borderId="12" xfId="0" applyFont="1" applyBorder="1" applyAlignment="1">
      <alignment horizontal="center" vertical="center" wrapText="1"/>
    </xf>
    <xf numFmtId="0" fontId="57" fillId="0" borderId="9"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0" xfId="0" applyFont="1" applyBorder="1" applyAlignment="1">
      <alignment horizontal="center" vertical="center" wrapText="1"/>
    </xf>
    <xf numFmtId="0" fontId="53" fillId="0" borderId="0" xfId="0" applyFont="1" applyAlignment="1">
      <alignment horizontal="center"/>
    </xf>
    <xf numFmtId="0" fontId="27" fillId="0" borderId="0" xfId="0" applyFont="1" applyAlignment="1">
      <alignment horizontal="center"/>
    </xf>
    <xf numFmtId="0" fontId="20" fillId="0" borderId="0" xfId="0" applyFont="1" applyAlignment="1">
      <alignment horizontal="center"/>
    </xf>
    <xf numFmtId="0" fontId="35" fillId="0" borderId="0" xfId="0" applyFont="1" applyAlignment="1">
      <alignment horizontal="center"/>
    </xf>
    <xf numFmtId="0" fontId="20" fillId="0" borderId="0" xfId="0" applyFont="1" applyAlignment="1">
      <alignment vertical="top" wrapText="1"/>
    </xf>
    <xf numFmtId="0" fontId="20" fillId="0" borderId="0" xfId="0" applyFont="1" applyAlignment="1">
      <alignment horizontal="center" vertical="top"/>
    </xf>
    <xf numFmtId="168" fontId="29" fillId="0" borderId="6" xfId="0" applyNumberFormat="1" applyFont="1" applyBorder="1" applyAlignment="1">
      <alignment horizontal="center"/>
    </xf>
    <xf numFmtId="0" fontId="27" fillId="0" borderId="9" xfId="0" applyFont="1" applyBorder="1" applyAlignment="1">
      <alignment horizontal="center"/>
    </xf>
    <xf numFmtId="0" fontId="28" fillId="5" borderId="3" xfId="543" applyFont="1"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28" fillId="0" borderId="0" xfId="0" applyFont="1" applyAlignment="1">
      <alignment horizontal="center"/>
    </xf>
    <xf numFmtId="0" fontId="161" fillId="0" borderId="8" xfId="543" applyFont="1" applyBorder="1" applyAlignment="1">
      <alignment horizontal="center" wrapText="1"/>
    </xf>
    <xf numFmtId="0" fontId="161" fillId="0" borderId="0" xfId="543" applyFont="1" applyAlignment="1">
      <alignment horizontal="center" wrapText="1"/>
    </xf>
    <xf numFmtId="0" fontId="161" fillId="0" borderId="12" xfId="543" applyFont="1" applyBorder="1" applyAlignment="1">
      <alignment horizontal="center" wrapText="1"/>
    </xf>
    <xf numFmtId="0" fontId="161" fillId="0" borderId="9" xfId="543" applyFont="1" applyBorder="1" applyAlignment="1">
      <alignment horizontal="center" wrapText="1"/>
    </xf>
    <xf numFmtId="0" fontId="161" fillId="0" borderId="6" xfId="543" applyFont="1" applyBorder="1" applyAlignment="1">
      <alignment horizontal="center" wrapText="1"/>
    </xf>
    <xf numFmtId="0" fontId="161" fillId="0" borderId="10" xfId="543" applyFont="1" applyBorder="1" applyAlignment="1">
      <alignment horizontal="center" wrapText="1"/>
    </xf>
    <xf numFmtId="0" fontId="161" fillId="0" borderId="8" xfId="543" applyFont="1" applyBorder="1" applyAlignment="1">
      <alignment horizontal="center" vertical="top" wrapText="1"/>
    </xf>
    <xf numFmtId="0" fontId="161" fillId="0" borderId="0" xfId="543" applyFont="1" applyAlignment="1">
      <alignment horizontal="center" vertical="top" wrapText="1"/>
    </xf>
    <xf numFmtId="0" fontId="161" fillId="0" borderId="12" xfId="543" applyFont="1" applyBorder="1" applyAlignment="1">
      <alignment horizontal="center" vertical="top" wrapText="1"/>
    </xf>
    <xf numFmtId="0" fontId="161" fillId="0" borderId="9" xfId="543" applyFont="1" applyBorder="1" applyAlignment="1">
      <alignment horizontal="center" vertical="top" wrapText="1"/>
    </xf>
    <xf numFmtId="0" fontId="161" fillId="0" borderId="6" xfId="543" applyFont="1" applyBorder="1" applyAlignment="1">
      <alignment horizontal="center" vertical="top" wrapText="1"/>
    </xf>
    <xf numFmtId="0" fontId="161" fillId="0" borderId="10" xfId="543" applyFont="1" applyBorder="1" applyAlignment="1">
      <alignment horizontal="center" vertical="top" wrapText="1"/>
    </xf>
    <xf numFmtId="0" fontId="158" fillId="0" borderId="0" xfId="0" applyFont="1" applyAlignment="1">
      <alignment horizontal="center" vertical="center" wrapText="1"/>
    </xf>
    <xf numFmtId="0" fontId="29" fillId="0" borderId="0" xfId="543" applyFont="1" applyAlignment="1">
      <alignment horizontal="center"/>
    </xf>
    <xf numFmtId="0" fontId="20" fillId="0" borderId="0" xfId="0" applyFont="1" applyAlignment="1">
      <alignment vertical="center" wrapText="1"/>
    </xf>
    <xf numFmtId="0" fontId="20" fillId="0" borderId="0" xfId="543" applyAlignment="1">
      <alignment wrapText="1"/>
    </xf>
    <xf numFmtId="0" fontId="21" fillId="0" borderId="0" xfId="244"/>
    <xf numFmtId="0" fontId="0" fillId="0" borderId="0" xfId="0"/>
    <xf numFmtId="0" fontId="20" fillId="0" borderId="0" xfId="1192" applyAlignment="1">
      <alignment horizontal="left" vertical="top" wrapText="1"/>
    </xf>
    <xf numFmtId="0" fontId="27" fillId="0" borderId="0" xfId="0" applyFont="1" applyAlignment="1">
      <alignment horizontal="left" vertical="top" wrapText="1"/>
    </xf>
    <xf numFmtId="0" fontId="49" fillId="0" borderId="0" xfId="0" applyFont="1" applyAlignment="1">
      <alignment horizontal="left" vertical="top" wrapText="1"/>
    </xf>
    <xf numFmtId="0" fontId="21" fillId="0" borderId="0" xfId="244" applyAlignment="1" applyProtection="1">
      <alignment horizontal="left"/>
    </xf>
    <xf numFmtId="0" fontId="116" fillId="0" borderId="0" xfId="0" applyFont="1" applyAlignment="1">
      <alignment horizontal="left" wrapText="1"/>
    </xf>
    <xf numFmtId="0" fontId="29" fillId="0" borderId="0" xfId="0" applyFont="1" applyAlignment="1">
      <alignment horizontal="left" wrapText="1"/>
    </xf>
    <xf numFmtId="0" fontId="26" fillId="3" borderId="16" xfId="0" applyFont="1" applyFill="1" applyBorder="1" applyAlignment="1">
      <alignment horizontal="center" vertical="center" wrapText="1"/>
    </xf>
    <xf numFmtId="0" fontId="108" fillId="0" borderId="0" xfId="0" applyFont="1" applyAlignment="1">
      <alignment horizontal="left" vertical="top" wrapText="1"/>
    </xf>
    <xf numFmtId="0" fontId="21" fillId="0" borderId="0" xfId="244" applyAlignment="1">
      <alignment horizontal="left" vertical="top"/>
    </xf>
    <xf numFmtId="0" fontId="117" fillId="0" borderId="0" xfId="569" applyFont="1" applyAlignment="1">
      <alignment horizontal="center"/>
    </xf>
    <xf numFmtId="0" fontId="118" fillId="0" borderId="0" xfId="569" applyFont="1"/>
    <xf numFmtId="0" fontId="20" fillId="0" borderId="0" xfId="569" applyAlignment="1">
      <alignment wrapText="1"/>
    </xf>
    <xf numFmtId="0" fontId="27" fillId="0" borderId="0" xfId="569" applyFont="1" applyAlignment="1">
      <alignment wrapText="1"/>
    </xf>
    <xf numFmtId="0" fontId="35" fillId="0" borderId="0" xfId="569" applyFont="1" applyAlignment="1">
      <alignment horizontal="center"/>
    </xf>
    <xf numFmtId="0" fontId="20" fillId="0" borderId="0" xfId="569"/>
    <xf numFmtId="0" fontId="20" fillId="0" borderId="0" xfId="1192" applyAlignment="1">
      <alignment vertical="top" wrapText="1"/>
    </xf>
    <xf numFmtId="0" fontId="20" fillId="0" borderId="0" xfId="569" applyAlignment="1">
      <alignment horizontal="left" wrapText="1"/>
    </xf>
    <xf numFmtId="0" fontId="38" fillId="0" borderId="0" xfId="569" applyFont="1" applyAlignment="1">
      <alignment horizontal="center"/>
    </xf>
    <xf numFmtId="0" fontId="27" fillId="0" borderId="0" xfId="569" applyFont="1" applyAlignment="1">
      <alignment horizontal="center"/>
    </xf>
    <xf numFmtId="0" fontId="20" fillId="0" borderId="0" xfId="569" applyAlignment="1">
      <alignment horizontal="left" vertical="top" wrapText="1"/>
    </xf>
    <xf numFmtId="0" fontId="20" fillId="0" borderId="0" xfId="569" applyAlignment="1">
      <alignment horizontal="left"/>
    </xf>
    <xf numFmtId="0" fontId="38" fillId="0" borderId="0" xfId="569" applyFont="1" applyAlignment="1">
      <alignment horizontal="left" vertical="top" wrapText="1"/>
    </xf>
    <xf numFmtId="0" fontId="27" fillId="0" borderId="4" xfId="569" applyFont="1" applyBorder="1" applyAlignment="1">
      <alignment horizontal="left"/>
    </xf>
    <xf numFmtId="4" fontId="20" fillId="0" borderId="0" xfId="1192" applyNumberFormat="1" applyAlignment="1">
      <alignment horizontal="left" vertical="top" wrapText="1"/>
    </xf>
    <xf numFmtId="49" fontId="20" fillId="0" borderId="0" xfId="0" applyNumberFormat="1" applyFont="1" applyAlignment="1">
      <alignment horizontal="left" vertical="top" wrapText="1"/>
    </xf>
    <xf numFmtId="0" fontId="21" fillId="0" borderId="0" xfId="244" applyAlignment="1" applyProtection="1">
      <alignment horizontal="left" vertical="top" wrapText="1"/>
    </xf>
    <xf numFmtId="0" fontId="20" fillId="0" borderId="0" xfId="569" applyAlignment="1">
      <alignment horizontal="left" vertical="top"/>
    </xf>
    <xf numFmtId="0" fontId="27" fillId="0" borderId="4" xfId="569" applyFont="1" applyBorder="1" applyAlignment="1">
      <alignment horizontal="left" vertical="top"/>
    </xf>
    <xf numFmtId="0" fontId="38" fillId="0" borderId="0" xfId="569" applyFont="1" applyAlignment="1">
      <alignment horizontal="left"/>
    </xf>
    <xf numFmtId="4" fontId="20" fillId="0" borderId="0" xfId="569" applyNumberFormat="1" applyAlignment="1">
      <alignment horizontal="left"/>
    </xf>
    <xf numFmtId="4" fontId="20" fillId="0" borderId="0" xfId="569" applyNumberFormat="1" applyAlignment="1">
      <alignment horizontal="left" vertical="top" wrapText="1"/>
    </xf>
    <xf numFmtId="0" fontId="27" fillId="0" borderId="0" xfId="569" applyFont="1" applyAlignment="1">
      <alignment horizontal="left"/>
    </xf>
    <xf numFmtId="0" fontId="38" fillId="0" borderId="0" xfId="1192" applyFont="1" applyAlignment="1">
      <alignment horizontal="left"/>
    </xf>
    <xf numFmtId="0" fontId="20" fillId="0" borderId="0" xfId="1192" applyAlignment="1">
      <alignment horizontal="left"/>
    </xf>
    <xf numFmtId="0" fontId="20" fillId="0" borderId="0" xfId="0" applyFont="1" applyAlignment="1">
      <alignment horizontal="left"/>
    </xf>
    <xf numFmtId="0" fontId="20" fillId="0" borderId="0" xfId="0" applyFont="1" applyAlignment="1">
      <alignment horizontal="left" vertical="top"/>
    </xf>
    <xf numFmtId="0" fontId="27" fillId="0" borderId="0" xfId="0" applyFont="1" applyAlignment="1">
      <alignment horizontal="left" vertical="top"/>
    </xf>
    <xf numFmtId="49" fontId="20" fillId="0" borderId="0" xfId="1192" applyNumberFormat="1" applyAlignment="1">
      <alignment horizontal="left" vertical="top" wrapText="1"/>
    </xf>
    <xf numFmtId="0" fontId="21" fillId="0" borderId="0" xfId="244" applyNumberFormat="1" applyFill="1" applyAlignment="1" applyProtection="1">
      <alignment horizontal="left"/>
    </xf>
    <xf numFmtId="0" fontId="38" fillId="0" borderId="0" xfId="569" applyFont="1" applyAlignment="1">
      <alignment horizontal="left" wrapText="1"/>
    </xf>
    <xf numFmtId="0" fontId="38" fillId="0" borderId="0" xfId="569" applyFont="1" applyAlignment="1">
      <alignment horizontal="center" wrapText="1"/>
    </xf>
    <xf numFmtId="0" fontId="20" fillId="0" borderId="0" xfId="569" applyAlignment="1">
      <alignment horizontal="left" vertical="center" wrapText="1"/>
    </xf>
    <xf numFmtId="0" fontId="27" fillId="0" borderId="4" xfId="0" applyFont="1" applyBorder="1" applyAlignment="1">
      <alignment horizontal="left"/>
    </xf>
    <xf numFmtId="0" fontId="20" fillId="0" borderId="0" xfId="1192" applyAlignment="1" applyProtection="1">
      <alignment horizontal="left" vertical="top" wrapText="1"/>
      <protection locked="0"/>
    </xf>
    <xf numFmtId="0" fontId="0" fillId="0" borderId="0" xfId="0" applyAlignment="1">
      <alignment horizontal="left" vertical="top" wrapText="1"/>
    </xf>
    <xf numFmtId="0" fontId="38" fillId="0" borderId="0" xfId="1192" applyFont="1" applyAlignment="1">
      <alignment horizontal="left" vertical="top" wrapText="1"/>
    </xf>
    <xf numFmtId="0" fontId="20" fillId="0" borderId="0" xfId="569" applyAlignment="1">
      <alignment vertical="top" wrapText="1"/>
    </xf>
    <xf numFmtId="0" fontId="38" fillId="0" borderId="0" xfId="0" applyFont="1" applyAlignment="1">
      <alignment horizontal="left" vertical="top" wrapText="1"/>
    </xf>
    <xf numFmtId="4" fontId="38" fillId="0" borderId="0" xfId="0" applyNumberFormat="1" applyFont="1" applyAlignment="1">
      <alignment horizontal="left" vertical="top" wrapText="1"/>
    </xf>
    <xf numFmtId="0" fontId="27" fillId="0" borderId="4" xfId="0" applyFont="1" applyBorder="1" applyAlignment="1">
      <alignment horizontal="left" vertical="top"/>
    </xf>
    <xf numFmtId="4" fontId="20" fillId="0" borderId="0" xfId="0" applyNumberFormat="1" applyFont="1" applyAlignment="1">
      <alignment horizontal="left" vertical="top" wrapText="1"/>
    </xf>
    <xf numFmtId="0" fontId="20" fillId="0" borderId="27" xfId="569" applyBorder="1" applyAlignment="1">
      <alignment horizontal="left"/>
    </xf>
    <xf numFmtId="0" fontId="27" fillId="0" borderId="16" xfId="569" applyFont="1" applyBorder="1" applyAlignment="1">
      <alignment horizontal="left"/>
    </xf>
    <xf numFmtId="4" fontId="38" fillId="0" borderId="0" xfId="569" applyNumberFormat="1" applyFont="1" applyAlignment="1">
      <alignment horizontal="left" vertical="top" wrapText="1"/>
    </xf>
    <xf numFmtId="0" fontId="38" fillId="0" borderId="0" xfId="0" applyFont="1" applyAlignment="1">
      <alignment horizontal="left"/>
    </xf>
    <xf numFmtId="0" fontId="20" fillId="0" borderId="0" xfId="0" quotePrefix="1" applyFont="1" applyAlignment="1">
      <alignment horizontal="left" vertical="top"/>
    </xf>
    <xf numFmtId="0" fontId="20" fillId="0" borderId="0" xfId="0" quotePrefix="1" applyFont="1" applyAlignment="1">
      <alignment horizontal="left" vertical="top" wrapText="1"/>
    </xf>
    <xf numFmtId="0" fontId="21" fillId="0" borderId="0" xfId="244" quotePrefix="1" applyAlignment="1" applyProtection="1">
      <alignment horizontal="left"/>
    </xf>
    <xf numFmtId="4" fontId="38" fillId="0" borderId="0" xfId="0" applyNumberFormat="1" applyFont="1" applyAlignment="1">
      <alignment horizontal="left"/>
    </xf>
    <xf numFmtId="0" fontId="27" fillId="0" borderId="0" xfId="1192" applyFont="1" applyAlignment="1">
      <alignment horizontal="left" vertical="top" wrapText="1"/>
    </xf>
    <xf numFmtId="0" fontId="20" fillId="0" borderId="0" xfId="0" applyFont="1" applyAlignment="1">
      <alignment horizontal="left" vertical="center" wrapText="1"/>
    </xf>
    <xf numFmtId="0" fontId="21" fillId="0" borderId="0" xfId="244" applyFill="1" applyBorder="1" applyAlignment="1">
      <alignment horizontal="left" vertical="top" wrapText="1"/>
    </xf>
    <xf numFmtId="0" fontId="27" fillId="0" borderId="0" xfId="0" applyFont="1" applyAlignment="1">
      <alignment vertical="top" wrapText="1"/>
    </xf>
    <xf numFmtId="4" fontId="20" fillId="0" borderId="0" xfId="0" applyNumberFormat="1" applyFont="1" applyAlignment="1">
      <alignment horizontal="left"/>
    </xf>
    <xf numFmtId="0" fontId="38" fillId="0" borderId="0" xfId="569" applyFont="1" applyAlignment="1">
      <alignment horizontal="left" vertical="top"/>
    </xf>
    <xf numFmtId="0" fontId="38" fillId="0" borderId="0" xfId="0" applyFont="1" applyAlignment="1">
      <alignment horizontal="left" vertical="top"/>
    </xf>
    <xf numFmtId="0" fontId="29" fillId="0" borderId="2" xfId="0" applyFont="1" applyBorder="1" applyAlignment="1">
      <alignment horizontal="left" vertical="top" wrapText="1"/>
    </xf>
    <xf numFmtId="177" fontId="29" fillId="5" borderId="6" xfId="0" applyNumberFormat="1" applyFont="1" applyFill="1" applyBorder="1" applyAlignment="1" applyProtection="1">
      <alignment horizontal="left" vertical="top" wrapText="1"/>
      <protection locked="0"/>
    </xf>
    <xf numFmtId="0" fontId="57" fillId="0" borderId="0" xfId="0" applyFont="1" applyAlignment="1">
      <alignment vertical="top" wrapText="1"/>
    </xf>
    <xf numFmtId="0" fontId="29" fillId="0" borderId="0" xfId="0" applyFont="1" applyAlignment="1">
      <alignment vertical="top" wrapText="1"/>
    </xf>
    <xf numFmtId="0" fontId="29" fillId="0" borderId="6" xfId="0" applyFont="1" applyBorder="1" applyAlignment="1">
      <alignment horizontal="right" vertical="top" wrapText="1"/>
    </xf>
    <xf numFmtId="0" fontId="29" fillId="0" borderId="6" xfId="0" applyFont="1" applyBorder="1" applyAlignment="1">
      <alignment vertical="top" wrapText="1"/>
    </xf>
    <xf numFmtId="0" fontId="61" fillId="2" borderId="3" xfId="0" applyFont="1" applyFill="1" applyBorder="1" applyAlignment="1">
      <alignment horizontal="center" vertical="top"/>
    </xf>
    <xf numFmtId="0" fontId="61" fillId="2" borderId="4" xfId="0" applyFont="1" applyFill="1" applyBorder="1" applyAlignment="1">
      <alignment horizontal="center" vertical="top"/>
    </xf>
    <xf numFmtId="0" fontId="61" fillId="2" borderId="5" xfId="0" applyFont="1" applyFill="1" applyBorder="1" applyAlignment="1">
      <alignment horizontal="center" vertical="top"/>
    </xf>
    <xf numFmtId="0" fontId="29" fillId="0" borderId="2" xfId="0" applyFont="1" applyBorder="1" applyAlignment="1">
      <alignment vertical="top" wrapText="1"/>
    </xf>
    <xf numFmtId="0" fontId="56" fillId="0" borderId="0" xfId="0" applyFont="1" applyAlignment="1">
      <alignment vertical="top" wrapText="1"/>
    </xf>
    <xf numFmtId="0" fontId="57" fillId="0" borderId="0" xfId="569" applyFont="1" applyAlignment="1">
      <alignment vertical="top" wrapText="1"/>
    </xf>
    <xf numFmtId="0" fontId="20" fillId="0" borderId="0" xfId="569" applyAlignment="1">
      <alignment horizontal="right" vertical="top" wrapText="1"/>
    </xf>
    <xf numFmtId="0" fontId="26" fillId="3" borderId="3" xfId="0" applyFont="1" applyFill="1" applyBorder="1" applyAlignment="1">
      <alignment horizontal="left" vertical="top"/>
    </xf>
    <xf numFmtId="0" fontId="26" fillId="3" borderId="4" xfId="0" applyFont="1" applyFill="1" applyBorder="1" applyAlignment="1">
      <alignment horizontal="left" vertical="top"/>
    </xf>
    <xf numFmtId="0" fontId="26" fillId="3" borderId="5" xfId="0" applyFont="1" applyFill="1" applyBorder="1" applyAlignment="1">
      <alignment horizontal="left" vertical="top"/>
    </xf>
    <xf numFmtId="0" fontId="105" fillId="44" borderId="0" xfId="8736" applyFont="1" applyFill="1" applyAlignment="1">
      <alignment horizontal="left"/>
    </xf>
    <xf numFmtId="0" fontId="4" fillId="48" borderId="80" xfId="8736" applyFill="1" applyBorder="1" applyAlignment="1" applyProtection="1">
      <alignment horizontal="left"/>
      <protection locked="0"/>
    </xf>
    <xf numFmtId="0" fontId="4" fillId="48" borderId="79" xfId="8736" applyFill="1" applyBorder="1" applyAlignment="1" applyProtection="1">
      <alignment horizontal="left"/>
      <protection locked="0"/>
    </xf>
    <xf numFmtId="0" fontId="4" fillId="48" borderId="78" xfId="8736" applyFill="1" applyBorder="1" applyAlignment="1" applyProtection="1">
      <alignment horizontal="left"/>
      <protection locked="0"/>
    </xf>
    <xf numFmtId="0" fontId="167" fillId="44" borderId="0" xfId="8736" applyFont="1" applyFill="1" applyAlignment="1">
      <alignment horizontal="left" vertical="top"/>
    </xf>
    <xf numFmtId="0" fontId="105" fillId="44" borderId="0" xfId="8730" applyFont="1" applyFill="1" applyBorder="1" applyAlignment="1">
      <alignment horizontal="left" vertical="top"/>
    </xf>
    <xf numFmtId="14" fontId="4" fillId="48" borderId="80" xfId="8736" applyNumberFormat="1" applyFill="1" applyBorder="1" applyAlignment="1" applyProtection="1">
      <alignment horizontal="center"/>
      <protection locked="0"/>
    </xf>
    <xf numFmtId="14" fontId="4" fillId="48" borderId="79" xfId="8736" applyNumberFormat="1" applyFill="1" applyBorder="1" applyAlignment="1" applyProtection="1">
      <alignment horizontal="center"/>
      <protection locked="0"/>
    </xf>
    <xf numFmtId="14" fontId="4" fillId="48" borderId="78" xfId="8736" applyNumberFormat="1" applyFill="1" applyBorder="1" applyAlignment="1" applyProtection="1">
      <alignment horizontal="center"/>
      <protection locked="0"/>
    </xf>
    <xf numFmtId="0" fontId="168" fillId="47" borderId="0" xfId="8736" applyFont="1" applyFill="1" applyAlignment="1">
      <alignment horizontal="left" vertical="top" wrapText="1"/>
    </xf>
    <xf numFmtId="0" fontId="105" fillId="47" borderId="42" xfId="8736" applyFont="1" applyFill="1" applyBorder="1" applyAlignment="1">
      <alignment horizontal="center"/>
    </xf>
    <xf numFmtId="0" fontId="4" fillId="48" borderId="80" xfId="8736" applyFill="1" applyBorder="1" applyAlignment="1" applyProtection="1">
      <alignment horizontal="center"/>
      <protection locked="0"/>
    </xf>
    <xf numFmtId="0" fontId="4" fillId="48" borderId="79" xfId="8736" applyFill="1" applyBorder="1" applyAlignment="1" applyProtection="1">
      <alignment horizontal="center"/>
      <protection locked="0"/>
    </xf>
    <xf numFmtId="0" fontId="4" fillId="48" borderId="78" xfId="8736" applyFill="1" applyBorder="1" applyAlignment="1" applyProtection="1">
      <alignment horizontal="center"/>
      <protection locked="0"/>
    </xf>
    <xf numFmtId="0" fontId="169" fillId="47" borderId="65" xfId="8736" applyFont="1" applyFill="1" applyBorder="1" applyAlignment="1">
      <alignment horizontal="center"/>
    </xf>
    <xf numFmtId="0" fontId="169" fillId="47" borderId="29" xfId="8736" applyFont="1" applyFill="1" applyBorder="1" applyAlignment="1">
      <alignment horizontal="center"/>
    </xf>
    <xf numFmtId="0" fontId="169" fillId="47" borderId="31" xfId="8736" applyFont="1" applyFill="1" applyBorder="1" applyAlignment="1">
      <alignment horizontal="center"/>
    </xf>
    <xf numFmtId="0" fontId="4" fillId="47" borderId="66" xfId="8736" applyFill="1" applyBorder="1" applyAlignment="1">
      <alignment horizontal="center"/>
    </xf>
    <xf numFmtId="0" fontId="4" fillId="47" borderId="0" xfId="8736" applyFill="1" applyAlignment="1">
      <alignment horizontal="center"/>
    </xf>
    <xf numFmtId="0" fontId="4" fillId="47" borderId="41" xfId="8736" applyFill="1" applyBorder="1" applyAlignment="1">
      <alignment horizontal="center"/>
    </xf>
    <xf numFmtId="0" fontId="168" fillId="47" borderId="66" xfId="8736" applyFont="1" applyFill="1" applyBorder="1" applyAlignment="1">
      <alignment horizontal="center"/>
    </xf>
    <xf numFmtId="0" fontId="168" fillId="47" borderId="0" xfId="8736" applyFont="1" applyFill="1" applyAlignment="1">
      <alignment horizontal="center"/>
    </xf>
    <xf numFmtId="0" fontId="168" fillId="47" borderId="41" xfId="8736" applyFont="1" applyFill="1" applyBorder="1" applyAlignment="1">
      <alignment horizontal="center"/>
    </xf>
    <xf numFmtId="0" fontId="105" fillId="47" borderId="66" xfId="8736" applyFont="1" applyFill="1" applyBorder="1" applyAlignment="1">
      <alignment horizontal="center"/>
    </xf>
    <xf numFmtId="0" fontId="105" fillId="47" borderId="0" xfId="8736" applyFont="1" applyFill="1" applyAlignment="1">
      <alignment horizontal="center"/>
    </xf>
    <xf numFmtId="0" fontId="105" fillId="47" borderId="41" xfId="8736" applyFont="1" applyFill="1" applyBorder="1" applyAlignment="1">
      <alignment horizontal="center"/>
    </xf>
    <xf numFmtId="0" fontId="105" fillId="47" borderId="0" xfId="8736" applyFont="1" applyFill="1" applyAlignment="1">
      <alignment horizontal="left"/>
    </xf>
    <xf numFmtId="0" fontId="170" fillId="50" borderId="3" xfId="698" applyNumberFormat="1" applyFont="1" applyFill="1" applyBorder="1" applyAlignment="1" applyProtection="1">
      <alignment horizontal="center"/>
      <protection locked="0"/>
    </xf>
    <xf numFmtId="0" fontId="170" fillId="50" borderId="4" xfId="698" applyNumberFormat="1" applyFont="1" applyFill="1" applyBorder="1" applyAlignment="1" applyProtection="1">
      <alignment horizontal="center"/>
      <protection locked="0"/>
    </xf>
    <xf numFmtId="0" fontId="170" fillId="50" borderId="81" xfId="698" applyNumberFormat="1" applyFont="1" applyFill="1" applyBorder="1" applyAlignment="1" applyProtection="1">
      <alignment horizontal="center"/>
      <protection locked="0"/>
    </xf>
    <xf numFmtId="43" fontId="168" fillId="49" borderId="72" xfId="698" applyFont="1" applyFill="1" applyBorder="1" applyAlignment="1" applyProtection="1">
      <alignment horizontal="right"/>
      <protection hidden="1"/>
    </xf>
    <xf numFmtId="43" fontId="168" fillId="49" borderId="11" xfId="698" applyFont="1" applyFill="1" applyBorder="1" applyAlignment="1" applyProtection="1">
      <alignment horizontal="right"/>
      <protection hidden="1"/>
    </xf>
    <xf numFmtId="44" fontId="168" fillId="0" borderId="11" xfId="700" applyFont="1" applyBorder="1" applyAlignment="1" applyProtection="1">
      <alignment horizontal="center"/>
      <protection hidden="1"/>
    </xf>
    <xf numFmtId="168" fontId="168" fillId="0" borderId="11" xfId="700" applyNumberFormat="1" applyFont="1" applyBorder="1" applyAlignment="1" applyProtection="1">
      <alignment horizontal="center"/>
      <protection hidden="1"/>
    </xf>
    <xf numFmtId="9" fontId="168" fillId="0" borderId="11" xfId="1022" applyFont="1" applyBorder="1" applyAlignment="1" applyProtection="1">
      <alignment horizontal="center"/>
      <protection hidden="1"/>
    </xf>
    <xf numFmtId="43" fontId="168" fillId="49" borderId="3" xfId="698" applyFont="1" applyFill="1" applyBorder="1" applyAlignment="1" applyProtection="1">
      <alignment horizontal="center"/>
      <protection hidden="1"/>
    </xf>
    <xf numFmtId="43" fontId="168" fillId="49" borderId="4" xfId="698" applyFont="1" applyFill="1" applyBorder="1" applyAlignment="1" applyProtection="1">
      <alignment horizontal="center"/>
      <protection hidden="1"/>
    </xf>
    <xf numFmtId="43" fontId="168" fillId="49" borderId="81" xfId="698" applyFont="1" applyFill="1" applyBorder="1" applyAlignment="1" applyProtection="1">
      <alignment horizontal="center"/>
      <protection hidden="1"/>
    </xf>
    <xf numFmtId="0" fontId="171" fillId="49" borderId="72" xfId="698" applyNumberFormat="1" applyFont="1" applyFill="1" applyBorder="1" applyAlignment="1" applyProtection="1">
      <alignment horizontal="center"/>
      <protection hidden="1"/>
    </xf>
    <xf numFmtId="0" fontId="171" fillId="49" borderId="11" xfId="698" applyNumberFormat="1" applyFont="1" applyFill="1" applyBorder="1" applyAlignment="1" applyProtection="1">
      <alignment horizontal="center"/>
      <protection hidden="1"/>
    </xf>
    <xf numFmtId="0" fontId="171" fillId="48" borderId="11" xfId="569" applyFont="1" applyFill="1" applyBorder="1" applyAlignment="1" applyProtection="1">
      <alignment horizontal="center"/>
      <protection locked="0"/>
    </xf>
    <xf numFmtId="14" fontId="170" fillId="48" borderId="11" xfId="700" applyNumberFormat="1" applyFont="1" applyFill="1" applyBorder="1" applyAlignment="1" applyProtection="1">
      <alignment horizontal="center"/>
      <protection locked="0"/>
    </xf>
    <xf numFmtId="168" fontId="171" fillId="48" borderId="11" xfId="700" applyNumberFormat="1" applyFont="1" applyFill="1" applyBorder="1" applyAlignment="1" applyProtection="1">
      <alignment horizontal="center"/>
      <protection locked="0"/>
    </xf>
    <xf numFmtId="9" fontId="171" fillId="48" borderId="11" xfId="1022" applyFont="1" applyFill="1" applyBorder="1" applyAlignment="1" applyProtection="1">
      <alignment horizontal="center"/>
      <protection locked="0"/>
    </xf>
    <xf numFmtId="44" fontId="170" fillId="48" borderId="11" xfId="700" applyFont="1" applyFill="1" applyBorder="1" applyAlignment="1" applyProtection="1">
      <alignment horizontal="center"/>
      <protection locked="0"/>
    </xf>
    <xf numFmtId="0" fontId="173" fillId="45" borderId="11" xfId="8736" applyFont="1" applyFill="1" applyBorder="1" applyAlignment="1">
      <alignment horizontal="left" wrapText="1"/>
    </xf>
    <xf numFmtId="43" fontId="168" fillId="45" borderId="80" xfId="698" applyFont="1" applyFill="1" applyBorder="1" applyAlignment="1" applyProtection="1">
      <alignment horizontal="center"/>
      <protection hidden="1"/>
    </xf>
    <xf numFmtId="43" fontId="168" fillId="45" borderId="79" xfId="698" applyFont="1" applyFill="1" applyBorder="1" applyAlignment="1" applyProtection="1">
      <alignment horizontal="center"/>
      <protection hidden="1"/>
    </xf>
    <xf numFmtId="43" fontId="168" fillId="45" borderId="78" xfId="698" applyFont="1" applyFill="1" applyBorder="1" applyAlignment="1" applyProtection="1">
      <alignment horizontal="center"/>
      <protection hidden="1"/>
    </xf>
    <xf numFmtId="43" fontId="172" fillId="49" borderId="66" xfId="698" applyFont="1" applyFill="1" applyBorder="1" applyAlignment="1" applyProtection="1">
      <alignment horizontal="center" wrapText="1"/>
      <protection hidden="1"/>
    </xf>
    <xf numFmtId="43" fontId="172" fillId="49" borderId="0" xfId="698" applyFont="1" applyFill="1" applyBorder="1" applyAlignment="1" applyProtection="1">
      <alignment horizontal="center" wrapText="1"/>
      <protection hidden="1"/>
    </xf>
    <xf numFmtId="43" fontId="172" fillId="49" borderId="12" xfId="698" applyFont="1" applyFill="1" applyBorder="1" applyAlignment="1" applyProtection="1">
      <alignment horizontal="center" wrapText="1"/>
      <protection hidden="1"/>
    </xf>
    <xf numFmtId="43" fontId="172" fillId="49" borderId="83" xfId="698" applyFont="1" applyFill="1" applyBorder="1" applyAlignment="1" applyProtection="1">
      <alignment horizontal="center" wrapText="1"/>
      <protection hidden="1"/>
    </xf>
    <xf numFmtId="43" fontId="172" fillId="49" borderId="6" xfId="698" applyFont="1" applyFill="1" applyBorder="1" applyAlignment="1" applyProtection="1">
      <alignment horizontal="center" wrapText="1"/>
      <protection hidden="1"/>
    </xf>
    <xf numFmtId="43" fontId="172" fillId="49" borderId="10" xfId="698" applyFont="1" applyFill="1" applyBorder="1" applyAlignment="1" applyProtection="1">
      <alignment horizontal="center" wrapText="1"/>
      <protection hidden="1"/>
    </xf>
    <xf numFmtId="43" fontId="172" fillId="49" borderId="8" xfId="698" applyFont="1" applyFill="1" applyBorder="1" applyAlignment="1" applyProtection="1">
      <alignment horizontal="center" wrapText="1"/>
      <protection hidden="1"/>
    </xf>
    <xf numFmtId="43" fontId="172" fillId="49" borderId="9" xfId="698" applyFont="1" applyFill="1" applyBorder="1" applyAlignment="1" applyProtection="1">
      <alignment horizontal="center" wrapText="1"/>
      <protection hidden="1"/>
    </xf>
    <xf numFmtId="14" fontId="172" fillId="0" borderId="8" xfId="700" applyNumberFormat="1" applyFont="1" applyFill="1" applyBorder="1" applyAlignment="1" applyProtection="1">
      <alignment horizontal="center" wrapText="1"/>
      <protection hidden="1"/>
    </xf>
    <xf numFmtId="14" fontId="172" fillId="0" borderId="0" xfId="700" applyNumberFormat="1" applyFont="1" applyFill="1" applyBorder="1" applyAlignment="1" applyProtection="1">
      <alignment horizontal="center" wrapText="1"/>
      <protection hidden="1"/>
    </xf>
    <xf numFmtId="14" fontId="172" fillId="0" borderId="12" xfId="700" applyNumberFormat="1" applyFont="1" applyFill="1" applyBorder="1" applyAlignment="1" applyProtection="1">
      <alignment horizontal="center" wrapText="1"/>
      <protection hidden="1"/>
    </xf>
    <xf numFmtId="14" fontId="172" fillId="0" borderId="9" xfId="700" applyNumberFormat="1" applyFont="1" applyFill="1" applyBorder="1" applyAlignment="1" applyProtection="1">
      <alignment horizontal="center" wrapText="1"/>
      <protection hidden="1"/>
    </xf>
    <xf numFmtId="14" fontId="172" fillId="0" borderId="6" xfId="700" applyNumberFormat="1" applyFont="1" applyFill="1" applyBorder="1" applyAlignment="1" applyProtection="1">
      <alignment horizontal="center" wrapText="1"/>
      <protection hidden="1"/>
    </xf>
    <xf numFmtId="14" fontId="172" fillId="0" borderId="10" xfId="700" applyNumberFormat="1" applyFont="1" applyFill="1" applyBorder="1" applyAlignment="1" applyProtection="1">
      <alignment horizontal="center" wrapText="1"/>
      <protection hidden="1"/>
    </xf>
    <xf numFmtId="44" fontId="172" fillId="0" borderId="8" xfId="700" applyFont="1" applyBorder="1" applyAlignment="1" applyProtection="1">
      <alignment horizontal="center" wrapText="1"/>
      <protection hidden="1"/>
    </xf>
    <xf numFmtId="44" fontId="172" fillId="0" borderId="0" xfId="700" applyFont="1" applyBorder="1" applyAlignment="1" applyProtection="1">
      <alignment horizontal="center" wrapText="1"/>
      <protection hidden="1"/>
    </xf>
    <xf numFmtId="44" fontId="172" fillId="0" borderId="12" xfId="700" applyFont="1" applyBorder="1" applyAlignment="1" applyProtection="1">
      <alignment horizontal="center" wrapText="1"/>
      <protection hidden="1"/>
    </xf>
    <xf numFmtId="44" fontId="172" fillId="0" borderId="9" xfId="700" applyFont="1" applyBorder="1" applyAlignment="1" applyProtection="1">
      <alignment horizontal="center" wrapText="1"/>
      <protection hidden="1"/>
    </xf>
    <xf numFmtId="44" fontId="172" fillId="0" borderId="6" xfId="700" applyFont="1" applyBorder="1" applyAlignment="1" applyProtection="1">
      <alignment horizontal="center" wrapText="1"/>
      <protection hidden="1"/>
    </xf>
    <xf numFmtId="44" fontId="172" fillId="0" borderId="10" xfId="700" applyFont="1" applyBorder="1" applyAlignment="1" applyProtection="1">
      <alignment horizontal="center" wrapText="1"/>
      <protection hidden="1"/>
    </xf>
    <xf numFmtId="43" fontId="172" fillId="49" borderId="41" xfId="698" applyFont="1" applyFill="1" applyBorder="1" applyAlignment="1" applyProtection="1">
      <alignment horizontal="center" wrapText="1"/>
      <protection hidden="1"/>
    </xf>
    <xf numFmtId="43" fontId="172" fillId="49" borderId="82" xfId="698" applyFont="1" applyFill="1" applyBorder="1" applyAlignment="1" applyProtection="1">
      <alignment horizontal="center" wrapText="1"/>
      <protection hidden="1"/>
    </xf>
    <xf numFmtId="0" fontId="174" fillId="45" borderId="11" xfId="8736" applyFont="1" applyFill="1" applyBorder="1" applyAlignment="1">
      <alignment horizontal="left"/>
    </xf>
    <xf numFmtId="182" fontId="4" fillId="48" borderId="11" xfId="700" applyNumberFormat="1" applyFont="1" applyFill="1" applyBorder="1" applyAlignment="1" applyProtection="1">
      <alignment horizontal="center"/>
      <protection locked="0"/>
    </xf>
    <xf numFmtId="10" fontId="174" fillId="48" borderId="11" xfId="1022" applyNumberFormat="1" applyFont="1" applyFill="1" applyBorder="1" applyAlignment="1" applyProtection="1">
      <alignment horizontal="center"/>
      <protection locked="0"/>
    </xf>
    <xf numFmtId="182" fontId="4" fillId="0" borderId="13" xfId="8736" applyNumberFormat="1" applyBorder="1" applyAlignment="1">
      <alignment horizontal="center"/>
    </xf>
    <xf numFmtId="0" fontId="4" fillId="0" borderId="13" xfId="8736" applyBorder="1" applyAlignment="1">
      <alignment horizontal="center"/>
    </xf>
    <xf numFmtId="0" fontId="167" fillId="45" borderId="80" xfId="569" applyFont="1" applyFill="1" applyBorder="1" applyAlignment="1" applyProtection="1">
      <alignment horizontal="center" wrapText="1"/>
      <protection hidden="1"/>
    </xf>
    <xf numFmtId="0" fontId="167" fillId="45" borderId="79" xfId="569" applyFont="1" applyFill="1" applyBorder="1" applyAlignment="1" applyProtection="1">
      <alignment horizontal="center" wrapText="1"/>
      <protection hidden="1"/>
    </xf>
    <xf numFmtId="0" fontId="167" fillId="45" borderId="78" xfId="569" applyFont="1" applyFill="1" applyBorder="1" applyAlignment="1" applyProtection="1">
      <alignment horizontal="center" wrapText="1"/>
      <protection hidden="1"/>
    </xf>
    <xf numFmtId="0" fontId="167" fillId="45" borderId="13" xfId="569" applyFont="1" applyFill="1" applyBorder="1" applyAlignment="1" applyProtection="1">
      <alignment horizontal="left" wrapText="1"/>
      <protection hidden="1"/>
    </xf>
    <xf numFmtId="0" fontId="167" fillId="45" borderId="13" xfId="569" applyFont="1" applyFill="1" applyBorder="1" applyAlignment="1" applyProtection="1">
      <alignment horizontal="center" wrapText="1"/>
      <protection hidden="1"/>
    </xf>
    <xf numFmtId="0" fontId="176" fillId="45" borderId="67" xfId="8736" applyFont="1" applyFill="1" applyBorder="1" applyAlignment="1">
      <alignment horizontal="right"/>
    </xf>
    <xf numFmtId="0" fontId="176" fillId="45" borderId="68" xfId="8736" applyFont="1" applyFill="1" applyBorder="1" applyAlignment="1">
      <alignment horizontal="right"/>
    </xf>
    <xf numFmtId="168" fontId="171" fillId="44" borderId="68" xfId="700" applyNumberFormat="1" applyFont="1" applyFill="1" applyBorder="1" applyAlignment="1">
      <alignment horizontal="left"/>
    </xf>
    <xf numFmtId="168" fontId="171" fillId="44" borderId="71" xfId="700" applyNumberFormat="1" applyFont="1" applyFill="1" applyBorder="1" applyAlignment="1">
      <alignment horizontal="left"/>
    </xf>
    <xf numFmtId="0" fontId="173" fillId="48" borderId="66" xfId="8736" applyFont="1" applyFill="1" applyBorder="1" applyAlignment="1">
      <alignment horizontal="left" wrapText="1"/>
    </xf>
    <xf numFmtId="0" fontId="173" fillId="48" borderId="0" xfId="8736" applyFont="1" applyFill="1" applyAlignment="1">
      <alignment horizontal="left" wrapText="1"/>
    </xf>
    <xf numFmtId="0" fontId="173" fillId="48" borderId="41" xfId="8736" applyFont="1" applyFill="1" applyBorder="1" applyAlignment="1">
      <alignment horizontal="left" wrapText="1"/>
    </xf>
    <xf numFmtId="0" fontId="173" fillId="48" borderId="73" xfId="8736" applyFont="1" applyFill="1" applyBorder="1" applyAlignment="1">
      <alignment horizontal="left" wrapText="1"/>
    </xf>
    <xf numFmtId="0" fontId="173" fillId="48" borderId="42" xfId="8736" applyFont="1" applyFill="1" applyBorder="1" applyAlignment="1">
      <alignment horizontal="left" wrapText="1"/>
    </xf>
    <xf numFmtId="0" fontId="173" fillId="48" borderId="44" xfId="8736" applyFont="1" applyFill="1" applyBorder="1" applyAlignment="1">
      <alignment horizontal="left" wrapText="1"/>
    </xf>
    <xf numFmtId="0" fontId="175" fillId="45" borderId="69" xfId="8736" applyFont="1" applyFill="1" applyBorder="1" applyAlignment="1">
      <alignment horizontal="right"/>
    </xf>
    <xf numFmtId="0" fontId="175" fillId="45" borderId="70" xfId="8736" applyFont="1" applyFill="1" applyBorder="1" applyAlignment="1">
      <alignment horizontal="right"/>
    </xf>
    <xf numFmtId="0" fontId="167" fillId="44" borderId="70" xfId="700" applyNumberFormat="1" applyFont="1" applyFill="1" applyBorder="1" applyAlignment="1">
      <alignment horizontal="left"/>
    </xf>
    <xf numFmtId="168" fontId="167" fillId="44" borderId="70" xfId="700" applyNumberFormat="1" applyFont="1" applyFill="1" applyBorder="1" applyAlignment="1">
      <alignment horizontal="left"/>
    </xf>
    <xf numFmtId="168" fontId="167" fillId="44" borderId="77" xfId="700" applyNumberFormat="1" applyFont="1" applyFill="1" applyBorder="1" applyAlignment="1">
      <alignment horizontal="left"/>
    </xf>
    <xf numFmtId="0" fontId="168" fillId="47" borderId="0" xfId="8736" applyFont="1" applyFill="1" applyAlignment="1">
      <alignment horizontal="right"/>
    </xf>
    <xf numFmtId="168" fontId="172" fillId="47" borderId="0" xfId="700" applyNumberFormat="1" applyFont="1" applyFill="1" applyBorder="1" applyAlignment="1" applyProtection="1">
      <alignment horizontal="left"/>
      <protection locked="0"/>
    </xf>
    <xf numFmtId="0" fontId="174" fillId="48" borderId="87" xfId="8736" applyFont="1" applyFill="1" applyBorder="1" applyAlignment="1" applyProtection="1">
      <alignment horizontal="center"/>
      <protection locked="0"/>
    </xf>
    <xf numFmtId="0" fontId="174" fillId="48" borderId="86" xfId="8736" applyFont="1" applyFill="1" applyBorder="1" applyAlignment="1" applyProtection="1">
      <alignment horizontal="center"/>
      <protection locked="0"/>
    </xf>
    <xf numFmtId="0" fontId="176" fillId="48" borderId="70" xfId="8736" applyFont="1" applyFill="1" applyBorder="1" applyAlignment="1" applyProtection="1">
      <alignment horizontal="left"/>
      <protection locked="0"/>
    </xf>
    <xf numFmtId="0" fontId="176" fillId="48" borderId="77" xfId="8736" applyFont="1" applyFill="1" applyBorder="1" applyAlignment="1" applyProtection="1">
      <alignment horizontal="left"/>
      <protection locked="0"/>
    </xf>
    <xf numFmtId="168" fontId="174" fillId="48" borderId="86" xfId="700" applyNumberFormat="1" applyFont="1" applyFill="1" applyBorder="1" applyAlignment="1" applyProtection="1">
      <alignment horizontal="left"/>
      <protection locked="0"/>
    </xf>
    <xf numFmtId="168" fontId="174" fillId="48" borderId="85" xfId="700" applyNumberFormat="1" applyFont="1" applyFill="1" applyBorder="1" applyAlignment="1" applyProtection="1">
      <alignment horizontal="left"/>
      <protection locked="0"/>
    </xf>
    <xf numFmtId="0" fontId="174" fillId="48" borderId="87" xfId="8736" applyFont="1" applyFill="1" applyBorder="1" applyAlignment="1" applyProtection="1">
      <alignment horizontal="left"/>
      <protection locked="0"/>
    </xf>
    <xf numFmtId="0" fontId="174" fillId="48" borderId="86" xfId="8736" applyFont="1" applyFill="1" applyBorder="1" applyAlignment="1" applyProtection="1">
      <alignment horizontal="left"/>
      <protection locked="0"/>
    </xf>
    <xf numFmtId="0" fontId="174" fillId="48" borderId="85" xfId="8736" applyFont="1" applyFill="1" applyBorder="1" applyAlignment="1" applyProtection="1">
      <alignment horizontal="left"/>
      <protection locked="0"/>
    </xf>
    <xf numFmtId="0" fontId="105" fillId="48" borderId="80" xfId="8736" applyFont="1" applyFill="1" applyBorder="1" applyAlignment="1">
      <alignment horizontal="left"/>
    </xf>
    <xf numFmtId="0" fontId="105" fillId="48" borderId="79" xfId="8736" applyFont="1" applyFill="1" applyBorder="1" applyAlignment="1">
      <alignment horizontal="left"/>
    </xf>
    <xf numFmtId="44" fontId="4" fillId="48" borderId="84" xfId="700" applyFont="1" applyFill="1" applyBorder="1" applyAlignment="1" applyProtection="1">
      <alignment horizontal="center"/>
      <protection locked="0"/>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0" fontId="176" fillId="48" borderId="11"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0" fontId="174" fillId="48" borderId="11" xfId="8736" applyFont="1" applyFill="1" applyBorder="1" applyAlignment="1" applyProtection="1">
      <alignment horizontal="left"/>
      <protection locked="0"/>
    </xf>
    <xf numFmtId="0" fontId="174" fillId="48" borderId="76" xfId="8736" applyFont="1" applyFill="1" applyBorder="1" applyAlignment="1" applyProtection="1">
      <alignment horizontal="left"/>
      <protection locked="0"/>
    </xf>
    <xf numFmtId="0" fontId="4" fillId="48" borderId="1" xfId="8736" applyFill="1" applyBorder="1" applyAlignment="1">
      <alignment horizontal="center"/>
    </xf>
    <xf numFmtId="0" fontId="4" fillId="48" borderId="2" xfId="8736" applyFill="1" applyBorder="1" applyAlignment="1">
      <alignment horizontal="center"/>
    </xf>
    <xf numFmtId="0" fontId="4" fillId="48" borderId="112" xfId="8736" applyFill="1" applyBorder="1" applyAlignment="1">
      <alignment horizontal="center"/>
    </xf>
    <xf numFmtId="0" fontId="176" fillId="48" borderId="72" xfId="8736" applyFont="1" applyFill="1" applyBorder="1" applyAlignment="1" applyProtection="1">
      <alignment horizontal="center"/>
      <protection locked="0"/>
    </xf>
    <xf numFmtId="0" fontId="176" fillId="48" borderId="11" xfId="8736" applyFont="1" applyFill="1" applyBorder="1" applyAlignment="1" applyProtection="1">
      <alignment horizontal="center"/>
      <protection locked="0"/>
    </xf>
    <xf numFmtId="43" fontId="171" fillId="50" borderId="72" xfId="698" applyFont="1" applyFill="1" applyBorder="1" applyAlignment="1" applyProtection="1">
      <alignment horizontal="left" wrapText="1"/>
      <protection hidden="1"/>
    </xf>
    <xf numFmtId="43" fontId="171" fillId="50" borderId="11" xfId="698" applyFont="1" applyFill="1" applyBorder="1" applyAlignment="1" applyProtection="1">
      <alignment horizontal="left" wrapText="1"/>
      <protection hidden="1"/>
    </xf>
    <xf numFmtId="44" fontId="4" fillId="48" borderId="11" xfId="700" applyFont="1" applyFill="1" applyBorder="1" applyAlignment="1" applyProtection="1">
      <alignment horizontal="center"/>
      <protection hidden="1"/>
    </xf>
    <xf numFmtId="43" fontId="168" fillId="50" borderId="111" xfId="698" applyFont="1" applyFill="1" applyBorder="1" applyAlignment="1" applyProtection="1">
      <alignment horizontal="center"/>
      <protection hidden="1"/>
    </xf>
    <xf numFmtId="43" fontId="168" fillId="50" borderId="84" xfId="698" applyFont="1" applyFill="1" applyBorder="1" applyAlignment="1" applyProtection="1">
      <alignment horizontal="center"/>
      <protection hidden="1"/>
    </xf>
    <xf numFmtId="43" fontId="168" fillId="50" borderId="102" xfId="698" applyFont="1" applyFill="1" applyBorder="1" applyAlignment="1" applyProtection="1">
      <alignment horizontal="center"/>
      <protection hidden="1"/>
    </xf>
    <xf numFmtId="0" fontId="174" fillId="45" borderId="72" xfId="8736" applyFont="1" applyFill="1" applyBorder="1" applyAlignment="1">
      <alignment horizontal="right"/>
    </xf>
    <xf numFmtId="0" fontId="174" fillId="45" borderId="11" xfId="8736" applyFont="1" applyFill="1" applyBorder="1" applyAlignment="1">
      <alignment horizontal="right"/>
    </xf>
    <xf numFmtId="43" fontId="171" fillId="50" borderId="98" xfId="698" applyFont="1" applyFill="1" applyBorder="1" applyAlignment="1" applyProtection="1">
      <alignment horizontal="left"/>
      <protection hidden="1"/>
    </xf>
    <xf numFmtId="43" fontId="171" fillId="50" borderId="13" xfId="698" applyFont="1" applyFill="1" applyBorder="1" applyAlignment="1" applyProtection="1">
      <alignment horizontal="left"/>
      <protection hidden="1"/>
    </xf>
    <xf numFmtId="44" fontId="4" fillId="48" borderId="13" xfId="700" applyFont="1" applyFill="1" applyBorder="1" applyAlignment="1" applyProtection="1">
      <alignment horizontal="center"/>
      <protection locked="0"/>
    </xf>
    <xf numFmtId="0" fontId="174" fillId="48" borderId="9" xfId="8736" applyFont="1" applyFill="1" applyBorder="1" applyAlignment="1">
      <alignment horizontal="center"/>
    </xf>
    <xf numFmtId="0" fontId="174" fillId="48" borderId="6" xfId="8736" applyFont="1" applyFill="1" applyBorder="1" applyAlignment="1">
      <alignment horizontal="center"/>
    </xf>
    <xf numFmtId="0" fontId="174" fillId="48" borderId="82" xfId="8736" applyFont="1" applyFill="1" applyBorder="1" applyAlignment="1">
      <alignment horizontal="center"/>
    </xf>
    <xf numFmtId="0" fontId="4" fillId="48" borderId="3" xfId="8736" applyFill="1" applyBorder="1" applyAlignment="1">
      <alignment horizontal="center"/>
    </xf>
    <xf numFmtId="0" fontId="4" fillId="48" borderId="4" xfId="8736" applyFill="1" applyBorder="1" applyAlignment="1">
      <alignment horizontal="center"/>
    </xf>
    <xf numFmtId="0" fontId="4" fillId="48" borderId="81" xfId="8736" applyFill="1" applyBorder="1" applyAlignment="1">
      <alignment horizontal="center"/>
    </xf>
    <xf numFmtId="168" fontId="176" fillId="44" borderId="11" xfId="700" applyNumberFormat="1" applyFont="1" applyFill="1" applyBorder="1" applyAlignment="1">
      <alignment horizontal="left"/>
    </xf>
    <xf numFmtId="0" fontId="105" fillId="45" borderId="65" xfId="8736" applyFont="1" applyFill="1" applyBorder="1" applyAlignment="1">
      <alignment horizontal="left" wrapText="1"/>
    </xf>
    <xf numFmtId="0" fontId="105" fillId="45" borderId="29" xfId="8736" applyFont="1" applyFill="1" applyBorder="1" applyAlignment="1">
      <alignment horizontal="left" wrapText="1"/>
    </xf>
    <xf numFmtId="0" fontId="105" fillId="45" borderId="31" xfId="8736" applyFont="1" applyFill="1" applyBorder="1" applyAlignment="1">
      <alignment horizontal="left" wrapText="1"/>
    </xf>
    <xf numFmtId="0" fontId="105" fillId="45" borderId="73" xfId="8736" applyFont="1" applyFill="1" applyBorder="1" applyAlignment="1">
      <alignment horizontal="left" wrapText="1"/>
    </xf>
    <xf numFmtId="0" fontId="105" fillId="45" borderId="42" xfId="8736" applyFont="1" applyFill="1" applyBorder="1" applyAlignment="1">
      <alignment horizontal="left" wrapText="1"/>
    </xf>
    <xf numFmtId="0" fontId="105" fillId="45" borderId="44" xfId="8736" applyFont="1" applyFill="1" applyBorder="1" applyAlignment="1">
      <alignment horizontal="left" wrapText="1"/>
    </xf>
    <xf numFmtId="43" fontId="171" fillId="50" borderId="72" xfId="698" applyFont="1" applyFill="1" applyBorder="1" applyAlignment="1" applyProtection="1">
      <alignment horizontal="left"/>
      <protection hidden="1"/>
    </xf>
    <xf numFmtId="43" fontId="171" fillId="50" borderId="11" xfId="698" applyFont="1" applyFill="1" applyBorder="1" applyAlignment="1" applyProtection="1">
      <alignment horizontal="left"/>
      <protection hidden="1"/>
    </xf>
    <xf numFmtId="44" fontId="4" fillId="48" borderId="11" xfId="700" applyFont="1" applyFill="1" applyBorder="1" applyAlignment="1" applyProtection="1">
      <alignment horizontal="center"/>
      <protection locked="0"/>
    </xf>
    <xf numFmtId="0" fontId="105" fillId="45" borderId="67" xfId="8736" applyFont="1" applyFill="1" applyBorder="1" applyAlignment="1">
      <alignment horizontal="center"/>
    </xf>
    <xf numFmtId="0" fontId="105" fillId="45" borderId="68" xfId="8736" applyFont="1" applyFill="1" applyBorder="1" applyAlignment="1">
      <alignment horizontal="center"/>
    </xf>
    <xf numFmtId="0" fontId="168" fillId="45" borderId="68" xfId="8736" applyFont="1" applyFill="1" applyBorder="1" applyAlignment="1">
      <alignment horizontal="center"/>
    </xf>
    <xf numFmtId="0" fontId="168" fillId="45" borderId="71" xfId="8736" applyFont="1" applyFill="1" applyBorder="1" applyAlignment="1">
      <alignment horizontal="center"/>
    </xf>
    <xf numFmtId="0" fontId="175" fillId="51" borderId="11" xfId="8736" applyFont="1" applyFill="1" applyBorder="1" applyAlignment="1">
      <alignment horizontal="center"/>
    </xf>
    <xf numFmtId="0" fontId="175" fillId="51" borderId="76" xfId="8736" applyFont="1" applyFill="1" applyBorder="1" applyAlignment="1">
      <alignment horizontal="center"/>
    </xf>
    <xf numFmtId="0" fontId="176" fillId="45" borderId="72" xfId="8736" applyFont="1" applyFill="1" applyBorder="1" applyAlignment="1">
      <alignment horizontal="right"/>
    </xf>
    <xf numFmtId="0" fontId="176" fillId="45" borderId="11" xfId="8736" applyFont="1" applyFill="1" applyBorder="1" applyAlignment="1">
      <alignment horizontal="right"/>
    </xf>
    <xf numFmtId="168" fontId="176" fillId="48" borderId="11" xfId="700" applyNumberFormat="1" applyFont="1" applyFill="1" applyBorder="1" applyAlignment="1" applyProtection="1">
      <alignment horizontal="left"/>
      <protection locked="0"/>
    </xf>
    <xf numFmtId="168" fontId="174" fillId="44" borderId="11" xfId="700" applyNumberFormat="1" applyFont="1" applyFill="1" applyBorder="1" applyAlignment="1" applyProtection="1">
      <alignment horizontal="left"/>
      <protection locked="0"/>
    </xf>
    <xf numFmtId="0" fontId="105" fillId="45" borderId="71" xfId="8736" applyFont="1" applyFill="1" applyBorder="1" applyAlignment="1">
      <alignment horizontal="center"/>
    </xf>
    <xf numFmtId="0" fontId="168" fillId="45" borderId="67" xfId="8736" applyFont="1" applyFill="1" applyBorder="1" applyAlignment="1">
      <alignment horizontal="left"/>
    </xf>
    <xf numFmtId="0" fontId="168" fillId="45" borderId="68" xfId="8736" applyFont="1" applyFill="1" applyBorder="1" applyAlignment="1">
      <alignment horizontal="left"/>
    </xf>
    <xf numFmtId="0" fontId="168" fillId="45" borderId="71" xfId="8736" applyFont="1" applyFill="1" applyBorder="1" applyAlignment="1">
      <alignment horizontal="left"/>
    </xf>
    <xf numFmtId="0" fontId="105" fillId="45" borderId="72" xfId="8736" applyFont="1" applyFill="1" applyBorder="1" applyAlignment="1">
      <alignment horizontal="center"/>
    </xf>
    <xf numFmtId="0" fontId="105" fillId="45" borderId="11" xfId="8736" applyFont="1" applyFill="1" applyBorder="1" applyAlignment="1">
      <alignment horizontal="center"/>
    </xf>
    <xf numFmtId="0" fontId="105" fillId="45" borderId="76" xfId="8736" applyFont="1" applyFill="1" applyBorder="1" applyAlignment="1">
      <alignment horizontal="center"/>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14" fontId="174" fillId="48" borderId="11" xfId="8736" applyNumberFormat="1" applyFont="1" applyFill="1" applyBorder="1" applyAlignment="1" applyProtection="1">
      <alignment horizontal="center"/>
      <protection locked="0"/>
    </xf>
    <xf numFmtId="14" fontId="174" fillId="48" borderId="76" xfId="8736" applyNumberFormat="1" applyFont="1" applyFill="1" applyBorder="1" applyAlignment="1" applyProtection="1">
      <alignment horizontal="center"/>
      <protection locked="0"/>
    </xf>
    <xf numFmtId="0" fontId="174" fillId="48" borderId="69" xfId="8736" applyFont="1" applyFill="1" applyBorder="1" applyAlignment="1" applyProtection="1">
      <alignment horizontal="center"/>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4" fontId="174" fillId="48" borderId="77" xfId="8736" applyNumberFormat="1" applyFont="1" applyFill="1" applyBorder="1" applyAlignment="1" applyProtection="1">
      <alignment horizontal="center"/>
      <protection locked="0"/>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77" fillId="48" borderId="11" xfId="8736" applyFont="1" applyFill="1" applyBorder="1" applyAlignment="1" applyProtection="1">
      <alignment horizontal="left"/>
      <protection locked="0"/>
    </xf>
    <xf numFmtId="14" fontId="176" fillId="48" borderId="11" xfId="8736" applyNumberFormat="1" applyFont="1" applyFill="1" applyBorder="1" applyAlignment="1" applyProtection="1">
      <alignment horizontal="center"/>
      <protection locked="0"/>
    </xf>
    <xf numFmtId="168" fontId="176" fillId="48" borderId="11" xfId="8737" applyNumberFormat="1" applyFont="1" applyFill="1" applyBorder="1" applyAlignment="1" applyProtection="1">
      <alignment horizontal="center"/>
      <protection locked="0"/>
    </xf>
    <xf numFmtId="168" fontId="176" fillId="48" borderId="76" xfId="8737" applyNumberFormat="1" applyFont="1" applyFill="1" applyBorder="1" applyAlignment="1" applyProtection="1">
      <alignment horizontal="center"/>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7" fillId="48" borderId="70" xfId="8736" applyFont="1" applyFill="1" applyBorder="1" applyAlignment="1" applyProtection="1">
      <alignment horizontal="left"/>
      <protection locked="0"/>
    </xf>
    <xf numFmtId="0" fontId="176" fillId="48" borderId="70" xfId="8736" applyFont="1" applyFill="1" applyBorder="1" applyAlignment="1" applyProtection="1">
      <alignment horizontal="center"/>
      <protection locked="0"/>
    </xf>
    <xf numFmtId="14" fontId="176" fillId="48" borderId="70" xfId="8736" applyNumberFormat="1" applyFont="1" applyFill="1" applyBorder="1" applyAlignment="1" applyProtection="1">
      <alignment horizontal="center"/>
      <protection locked="0"/>
    </xf>
    <xf numFmtId="168" fontId="176" fillId="48" borderId="70" xfId="8737" applyNumberFormat="1" applyFont="1" applyFill="1" applyBorder="1" applyAlignment="1" applyProtection="1">
      <alignment horizontal="center"/>
      <protection locked="0"/>
    </xf>
    <xf numFmtId="168" fontId="176" fillId="48" borderId="77" xfId="8737" applyNumberFormat="1" applyFont="1" applyFill="1" applyBorder="1" applyAlignment="1" applyProtection="1">
      <alignment horizontal="center"/>
      <protection locked="0"/>
    </xf>
    <xf numFmtId="0" fontId="178" fillId="45" borderId="69" xfId="8736" applyFont="1" applyFill="1" applyBorder="1" applyAlignment="1">
      <alignment horizontal="left"/>
    </xf>
    <xf numFmtId="0" fontId="178" fillId="45" borderId="70" xfId="8736" applyFont="1" applyFill="1" applyBorder="1" applyAlignment="1">
      <alignment horizontal="left"/>
    </xf>
    <xf numFmtId="0" fontId="4" fillId="48" borderId="70" xfId="8736" applyFill="1" applyBorder="1" applyAlignment="1" applyProtection="1">
      <alignment horizontal="center"/>
      <protection locked="0"/>
    </xf>
    <xf numFmtId="0" fontId="4" fillId="48" borderId="77" xfId="8736" applyFill="1" applyBorder="1" applyAlignment="1" applyProtection="1">
      <alignment horizontal="center"/>
      <protection locked="0"/>
    </xf>
    <xf numFmtId="0" fontId="168" fillId="45" borderId="67" xfId="8736" applyFont="1" applyFill="1" applyBorder="1" applyAlignment="1">
      <alignment horizontal="center"/>
    </xf>
    <xf numFmtId="0" fontId="167" fillId="45" borderId="11" xfId="8736" applyFont="1" applyFill="1" applyBorder="1" applyAlignment="1">
      <alignment horizontal="center"/>
    </xf>
    <xf numFmtId="0" fontId="178" fillId="45" borderId="72" xfId="8736" applyFont="1" applyFill="1" applyBorder="1" applyAlignment="1">
      <alignment horizontal="left"/>
    </xf>
    <xf numFmtId="0" fontId="178" fillId="45" borderId="11" xfId="8736" applyFont="1" applyFill="1" applyBorder="1" applyAlignment="1">
      <alignment horizontal="left"/>
    </xf>
    <xf numFmtId="0" fontId="4" fillId="48" borderId="11" xfId="8736" applyFill="1" applyBorder="1" applyAlignment="1" applyProtection="1">
      <alignment horizontal="center"/>
      <protection locked="0"/>
    </xf>
    <xf numFmtId="0" fontId="4" fillId="48" borderId="76" xfId="8736" applyFill="1" applyBorder="1" applyAlignment="1" applyProtection="1">
      <alignment horizontal="center"/>
      <protection locked="0"/>
    </xf>
    <xf numFmtId="0" fontId="167" fillId="45" borderId="11" xfId="8736" applyFont="1" applyFill="1" applyBorder="1" applyAlignment="1">
      <alignment horizontal="center" wrapText="1"/>
    </xf>
    <xf numFmtId="0" fontId="167" fillId="45" borderId="76" xfId="8736" applyFont="1" applyFill="1" applyBorder="1" applyAlignment="1">
      <alignment horizontal="center" wrapText="1"/>
    </xf>
    <xf numFmtId="0" fontId="167" fillId="48" borderId="90" xfId="8736" applyFont="1" applyFill="1" applyBorder="1" applyAlignment="1">
      <alignment horizontal="left"/>
    </xf>
    <xf numFmtId="0" fontId="167" fillId="48" borderId="4" xfId="8736" applyFont="1" applyFill="1" applyBorder="1" applyAlignment="1">
      <alignment horizontal="left"/>
    </xf>
    <xf numFmtId="0" fontId="167" fillId="48" borderId="5" xfId="8736" applyFont="1" applyFill="1" applyBorder="1" applyAlignment="1">
      <alignment horizontal="left"/>
    </xf>
    <xf numFmtId="0" fontId="171" fillId="48" borderId="68" xfId="8736" applyFont="1" applyFill="1" applyBorder="1" applyAlignment="1" applyProtection="1">
      <alignment horizontal="left"/>
      <protection locked="0"/>
    </xf>
    <xf numFmtId="0" fontId="171" fillId="48" borderId="71" xfId="8736" applyFont="1" applyFill="1" applyBorder="1" applyAlignment="1" applyProtection="1">
      <alignment horizontal="left"/>
      <protection locked="0"/>
    </xf>
    <xf numFmtId="0" fontId="167" fillId="45" borderId="72" xfId="8736" applyFont="1" applyFill="1" applyBorder="1" applyAlignment="1">
      <alignment horizontal="left"/>
    </xf>
    <xf numFmtId="0" fontId="167" fillId="45" borderId="11" xfId="8736" applyFont="1" applyFill="1" applyBorder="1" applyAlignment="1">
      <alignment horizontal="left"/>
    </xf>
    <xf numFmtId="0" fontId="179" fillId="48" borderId="11" xfId="8736" applyFont="1" applyFill="1" applyBorder="1" applyAlignment="1" applyProtection="1">
      <alignment horizontal="left"/>
      <protection locked="0"/>
    </xf>
    <xf numFmtId="0" fontId="179" fillId="48" borderId="76" xfId="8736" applyFont="1" applyFill="1" applyBorder="1" applyAlignment="1" applyProtection="1">
      <alignment horizontal="left"/>
      <protection locked="0"/>
    </xf>
    <xf numFmtId="0" fontId="176" fillId="48" borderId="72" xfId="8736" applyFont="1" applyFill="1" applyBorder="1" applyAlignment="1" applyProtection="1">
      <alignment horizontal="left" vertical="top"/>
      <protection locked="0"/>
    </xf>
    <xf numFmtId="0" fontId="176" fillId="48" borderId="11" xfId="8736" applyFont="1" applyFill="1" applyBorder="1" applyAlignment="1" applyProtection="1">
      <alignment horizontal="left" vertical="top"/>
      <protection locked="0"/>
    </xf>
    <xf numFmtId="0" fontId="176" fillId="48" borderId="76" xfId="8736" applyFont="1" applyFill="1" applyBorder="1" applyAlignment="1" applyProtection="1">
      <alignment horizontal="left" vertical="top"/>
      <protection locked="0"/>
    </xf>
    <xf numFmtId="0" fontId="176" fillId="48" borderId="69" xfId="8736" applyFont="1" applyFill="1" applyBorder="1" applyAlignment="1" applyProtection="1">
      <alignment horizontal="left" vertical="top"/>
      <protection locked="0"/>
    </xf>
    <xf numFmtId="0" fontId="176" fillId="48" borderId="70" xfId="8736" applyFont="1" applyFill="1" applyBorder="1" applyAlignment="1" applyProtection="1">
      <alignment horizontal="left" vertical="top"/>
      <protection locked="0"/>
    </xf>
    <xf numFmtId="0" fontId="176" fillId="48" borderId="77" xfId="8736" applyFont="1" applyFill="1" applyBorder="1" applyAlignment="1" applyProtection="1">
      <alignment horizontal="left" vertical="top"/>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71" fillId="48" borderId="3" xfId="8736" applyFont="1" applyFill="1" applyBorder="1" applyAlignment="1" applyProtection="1">
      <alignment horizontal="center"/>
      <protection locked="0"/>
    </xf>
    <xf numFmtId="0" fontId="171" fillId="48" borderId="4" xfId="8736" applyFont="1" applyFill="1" applyBorder="1" applyAlignment="1" applyProtection="1">
      <alignment horizontal="center"/>
      <protection locked="0"/>
    </xf>
    <xf numFmtId="0" fontId="171" fillId="48" borderId="81" xfId="8736" applyFont="1" applyFill="1" applyBorder="1" applyAlignment="1" applyProtection="1">
      <alignment horizontal="center"/>
      <protection locked="0"/>
    </xf>
    <xf numFmtId="0" fontId="175" fillId="45" borderId="11" xfId="8736" applyFont="1" applyFill="1" applyBorder="1" applyAlignment="1">
      <alignment horizontal="center"/>
    </xf>
    <xf numFmtId="0" fontId="181" fillId="45" borderId="11" xfId="8736" applyFont="1" applyFill="1" applyBorder="1" applyAlignment="1">
      <alignment horizontal="left"/>
    </xf>
    <xf numFmtId="0" fontId="181" fillId="45" borderId="76" xfId="8736" applyFont="1" applyFill="1" applyBorder="1" applyAlignment="1">
      <alignment horizontal="left"/>
    </xf>
    <xf numFmtId="0" fontId="168" fillId="45" borderId="93" xfId="8736" applyFont="1" applyFill="1" applyBorder="1" applyAlignment="1">
      <alignment horizontal="center"/>
    </xf>
    <xf numFmtId="0" fontId="168" fillId="45" borderId="92" xfId="8736" applyFont="1" applyFill="1" applyBorder="1" applyAlignment="1">
      <alignment horizontal="center"/>
    </xf>
    <xf numFmtId="0" fontId="168" fillId="45" borderId="91" xfId="8736" applyFont="1" applyFill="1" applyBorder="1" applyAlignment="1">
      <alignment horizontal="center"/>
    </xf>
    <xf numFmtId="0" fontId="175" fillId="45" borderId="72" xfId="8736" applyFont="1" applyFill="1" applyBorder="1" applyAlignment="1">
      <alignment horizontal="center"/>
    </xf>
    <xf numFmtId="0" fontId="105" fillId="45" borderId="67" xfId="8736" applyFont="1" applyFill="1" applyBorder="1" applyAlignment="1" applyProtection="1">
      <alignment horizontal="left" vertical="center" wrapText="1"/>
      <protection locked="0"/>
    </xf>
    <xf numFmtId="0" fontId="105" fillId="45" borderId="68" xfId="8736" applyFont="1" applyFill="1" applyBorder="1" applyAlignment="1" applyProtection="1">
      <alignment horizontal="left" vertical="center" wrapText="1"/>
      <protection locked="0"/>
    </xf>
    <xf numFmtId="0" fontId="105" fillId="45" borderId="72" xfId="8736" applyFont="1" applyFill="1" applyBorder="1" applyAlignment="1" applyProtection="1">
      <alignment horizontal="left" vertical="center" wrapText="1"/>
      <protection locked="0"/>
    </xf>
    <xf numFmtId="0" fontId="105" fillId="45" borderId="11" xfId="8736" applyFont="1" applyFill="1" applyBorder="1" applyAlignment="1" applyProtection="1">
      <alignment horizontal="left" vertical="center" wrapText="1"/>
      <protection locked="0"/>
    </xf>
    <xf numFmtId="0" fontId="171" fillId="48" borderId="68" xfId="8736" applyFont="1" applyFill="1" applyBorder="1" applyAlignment="1" applyProtection="1">
      <alignment horizontal="left" vertical="center" wrapText="1"/>
      <protection locked="0"/>
    </xf>
    <xf numFmtId="0" fontId="171" fillId="48" borderId="71" xfId="8736" applyFont="1" applyFill="1" applyBorder="1" applyAlignment="1" applyProtection="1">
      <alignment horizontal="left" vertical="center" wrapText="1"/>
      <protection locked="0"/>
    </xf>
    <xf numFmtId="0" fontId="171" fillId="48" borderId="11" xfId="8736" applyFont="1" applyFill="1" applyBorder="1" applyAlignment="1" applyProtection="1">
      <alignment horizontal="left" vertical="center" wrapText="1"/>
      <protection locked="0"/>
    </xf>
    <xf numFmtId="0" fontId="171" fillId="48" borderId="76" xfId="8736" applyFont="1" applyFill="1" applyBorder="1" applyAlignment="1" applyProtection="1">
      <alignment horizontal="left" vertical="center" wrapText="1"/>
      <protection locked="0"/>
    </xf>
    <xf numFmtId="0" fontId="174" fillId="48" borderId="72" xfId="8736" applyFont="1" applyFill="1" applyBorder="1" applyAlignment="1" applyProtection="1">
      <alignment horizontal="left" vertical="top" wrapText="1"/>
      <protection locked="0"/>
    </xf>
    <xf numFmtId="0" fontId="174" fillId="48" borderId="11" xfId="8736" applyFont="1" applyFill="1" applyBorder="1" applyAlignment="1" applyProtection="1">
      <alignment horizontal="left" vertical="top" wrapText="1"/>
      <protection locked="0"/>
    </xf>
    <xf numFmtId="0" fontId="174" fillId="48" borderId="69" xfId="8736" applyFont="1" applyFill="1" applyBorder="1" applyAlignment="1" applyProtection="1">
      <alignment horizontal="left" vertical="top" wrapText="1"/>
      <protection locked="0"/>
    </xf>
    <xf numFmtId="0" fontId="174" fillId="48" borderId="70" xfId="8736" applyFont="1" applyFill="1" applyBorder="1" applyAlignment="1" applyProtection="1">
      <alignment horizontal="left" vertical="top" wrapText="1"/>
      <protection locked="0"/>
    </xf>
    <xf numFmtId="0" fontId="171" fillId="48" borderId="11" xfId="8736" applyFont="1" applyFill="1" applyBorder="1" applyAlignment="1" applyProtection="1">
      <alignment horizontal="center" vertical="center" wrapText="1"/>
      <protection locked="0"/>
    </xf>
    <xf numFmtId="0" fontId="171" fillId="48" borderId="76" xfId="8736" applyFont="1" applyFill="1" applyBorder="1" applyAlignment="1" applyProtection="1">
      <alignment horizontal="center" vertical="center" wrapText="1"/>
      <protection locked="0"/>
    </xf>
    <xf numFmtId="0" fontId="171" fillId="48" borderId="70" xfId="8736" applyFont="1" applyFill="1" applyBorder="1" applyAlignment="1" applyProtection="1">
      <alignment horizontal="center" vertical="center" wrapText="1"/>
      <protection locked="0"/>
    </xf>
    <xf numFmtId="0" fontId="171" fillId="48" borderId="77" xfId="8736" applyFont="1" applyFill="1" applyBorder="1" applyAlignment="1" applyProtection="1">
      <alignment horizontal="center" vertical="center" wrapText="1"/>
      <protection locked="0"/>
    </xf>
    <xf numFmtId="0" fontId="4" fillId="51" borderId="70" xfId="8736" applyFill="1" applyBorder="1" applyAlignment="1" applyProtection="1">
      <alignment horizontal="center"/>
      <protection locked="0"/>
    </xf>
    <xf numFmtId="0" fontId="4" fillId="51" borderId="77" xfId="8736" applyFill="1" applyBorder="1" applyAlignment="1" applyProtection="1">
      <alignment horizontal="center"/>
      <protection locked="0"/>
    </xf>
    <xf numFmtId="0" fontId="105" fillId="45" borderId="67" xfId="8736" applyFont="1" applyFill="1" applyBorder="1" applyAlignment="1">
      <alignment horizontal="left" wrapText="1"/>
    </xf>
    <xf numFmtId="0" fontId="105" fillId="45" borderId="68" xfId="8736" applyFont="1" applyFill="1" applyBorder="1" applyAlignment="1">
      <alignment horizontal="left" wrapText="1"/>
    </xf>
    <xf numFmtId="0" fontId="105" fillId="45" borderId="71" xfId="8736" applyFont="1" applyFill="1" applyBorder="1" applyAlignment="1">
      <alignment horizontal="left" wrapText="1"/>
    </xf>
    <xf numFmtId="0" fontId="105" fillId="45" borderId="72" xfId="8736" applyFont="1" applyFill="1" applyBorder="1" applyAlignment="1">
      <alignment horizontal="left" wrapText="1"/>
    </xf>
    <xf numFmtId="0" fontId="105" fillId="45" borderId="11" xfId="8736" applyFont="1" applyFill="1" applyBorder="1" applyAlignment="1">
      <alignment horizontal="left" wrapText="1"/>
    </xf>
    <xf numFmtId="0" fontId="105" fillId="45" borderId="76" xfId="8736" applyFont="1" applyFill="1" applyBorder="1" applyAlignment="1">
      <alignment horizontal="left" wrapText="1"/>
    </xf>
    <xf numFmtId="0" fontId="105" fillId="45" borderId="65" xfId="8736" applyFont="1" applyFill="1" applyBorder="1" applyAlignment="1">
      <alignment horizontal="center"/>
    </xf>
    <xf numFmtId="0" fontId="105" fillId="45" borderId="29" xfId="8736" applyFont="1" applyFill="1" applyBorder="1" applyAlignment="1">
      <alignment horizontal="center"/>
    </xf>
    <xf numFmtId="0" fontId="105" fillId="45" borderId="31" xfId="8736" applyFont="1" applyFill="1" applyBorder="1" applyAlignment="1">
      <alignment horizontal="center"/>
    </xf>
    <xf numFmtId="0" fontId="175" fillId="45" borderId="69" xfId="8736" applyFont="1" applyFill="1" applyBorder="1" applyAlignment="1">
      <alignment horizontal="center"/>
    </xf>
    <xf numFmtId="0" fontId="175" fillId="45" borderId="70" xfId="8736" applyFont="1" applyFill="1" applyBorder="1" applyAlignment="1">
      <alignment horizontal="center"/>
    </xf>
    <xf numFmtId="0" fontId="175" fillId="45" borderId="11" xfId="8736" applyFont="1" applyFill="1" applyBorder="1" applyAlignment="1">
      <alignment horizontal="center" wrapText="1"/>
    </xf>
    <xf numFmtId="0" fontId="167" fillId="45" borderId="76" xfId="8736" applyFont="1" applyFill="1" applyBorder="1" applyAlignment="1">
      <alignment horizontal="center"/>
    </xf>
    <xf numFmtId="0" fontId="4" fillId="48" borderId="9" xfId="8736" applyFill="1" applyBorder="1" applyAlignment="1" applyProtection="1">
      <alignment horizontal="center"/>
      <protection locked="0"/>
    </xf>
    <xf numFmtId="0" fontId="4" fillId="48" borderId="6" xfId="8736" applyFill="1" applyBorder="1" applyAlignment="1" applyProtection="1">
      <alignment horizontal="center"/>
      <protection locked="0"/>
    </xf>
    <xf numFmtId="0" fontId="4" fillId="48" borderId="82" xfId="8736" applyFill="1" applyBorder="1" applyAlignment="1" applyProtection="1">
      <alignment horizontal="center"/>
      <protection locked="0"/>
    </xf>
    <xf numFmtId="0" fontId="105" fillId="45" borderId="67" xfId="8736" applyFont="1" applyFill="1" applyBorder="1" applyAlignment="1">
      <alignment horizontal="center" wrapText="1"/>
    </xf>
    <xf numFmtId="0" fontId="105" fillId="45" borderId="68" xfId="8736" applyFont="1" applyFill="1" applyBorder="1" applyAlignment="1">
      <alignment horizontal="center" wrapText="1"/>
    </xf>
    <xf numFmtId="0" fontId="105" fillId="45" borderId="71" xfId="8736" applyFont="1" applyFill="1" applyBorder="1" applyAlignment="1">
      <alignment horizontal="center" wrapText="1"/>
    </xf>
    <xf numFmtId="0" fontId="171" fillId="48" borderId="68" xfId="8736" applyFont="1" applyFill="1" applyBorder="1" applyAlignment="1" applyProtection="1">
      <alignment horizontal="left" wrapText="1"/>
      <protection locked="0"/>
    </xf>
    <xf numFmtId="0" fontId="171" fillId="48" borderId="71" xfId="8736" applyFont="1" applyFill="1" applyBorder="1" applyAlignment="1" applyProtection="1">
      <alignment horizontal="left" wrapText="1"/>
      <protection locked="0"/>
    </xf>
    <xf numFmtId="0" fontId="171" fillId="48" borderId="11" xfId="8736" applyFont="1" applyFill="1" applyBorder="1" applyAlignment="1" applyProtection="1">
      <alignment horizontal="left" wrapText="1"/>
      <protection locked="0"/>
    </xf>
    <xf numFmtId="0" fontId="171" fillId="48" borderId="76" xfId="8736" applyFont="1" applyFill="1" applyBorder="1" applyAlignment="1" applyProtection="1">
      <alignment horizontal="left" wrapText="1"/>
      <protection locked="0"/>
    </xf>
    <xf numFmtId="0" fontId="176" fillId="48" borderId="72" xfId="8736" applyFont="1" applyFill="1" applyBorder="1" applyAlignment="1" applyProtection="1">
      <alignment horizontal="right"/>
      <protection locked="0"/>
    </xf>
    <xf numFmtId="0" fontId="176" fillId="48" borderId="11" xfId="8736" applyFont="1" applyFill="1" applyBorder="1" applyAlignment="1" applyProtection="1">
      <alignment horizontal="right"/>
      <protection locked="0"/>
    </xf>
    <xf numFmtId="168" fontId="176" fillId="48" borderId="76" xfId="700" applyNumberFormat="1" applyFont="1" applyFill="1" applyBorder="1" applyAlignment="1" applyProtection="1">
      <alignment horizontal="left"/>
      <protection locked="0"/>
    </xf>
    <xf numFmtId="0" fontId="168" fillId="45" borderId="98" xfId="8736" applyFont="1" applyFill="1" applyBorder="1" applyAlignment="1">
      <alignment horizontal="center"/>
    </xf>
    <xf numFmtId="0" fontId="168" fillId="45" borderId="13" xfId="8736"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68" fillId="45" borderId="89" xfId="8736" applyFont="1" applyFill="1" applyBorder="1" applyAlignment="1">
      <alignment horizontal="right"/>
    </xf>
    <xf numFmtId="0" fontId="168" fillId="45" borderId="43" xfId="8736" applyFont="1" applyFill="1" applyBorder="1" applyAlignment="1">
      <alignment horizontal="right"/>
    </xf>
    <xf numFmtId="168" fontId="168" fillId="45" borderId="43" xfId="8736" applyNumberFormat="1" applyFont="1" applyFill="1" applyBorder="1" applyAlignment="1">
      <alignment horizontal="left"/>
    </xf>
    <xf numFmtId="168" fontId="168" fillId="45" borderId="88" xfId="8736" applyNumberFormat="1" applyFont="1" applyFill="1" applyBorder="1" applyAlignment="1">
      <alignment horizontal="left"/>
    </xf>
    <xf numFmtId="0" fontId="174" fillId="48" borderId="68" xfId="8736" applyFont="1" applyFill="1" applyBorder="1" applyAlignment="1" applyProtection="1">
      <alignment horizontal="left"/>
      <protection locked="0"/>
    </xf>
    <xf numFmtId="0" fontId="174" fillId="48" borderId="71" xfId="8736" applyFont="1" applyFill="1" applyBorder="1" applyAlignment="1" applyProtection="1">
      <alignment horizontal="left"/>
      <protection locked="0"/>
    </xf>
    <xf numFmtId="0" fontId="168" fillId="45" borderId="69" xfId="8736" applyFont="1" applyFill="1" applyBorder="1" applyAlignment="1">
      <alignment horizontal="center"/>
    </xf>
    <xf numFmtId="0" fontId="168" fillId="45" borderId="70" xfId="8736" applyFont="1" applyFill="1" applyBorder="1" applyAlignment="1">
      <alignment horizontal="center"/>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0" fontId="171" fillId="48" borderId="74" xfId="8736" applyFont="1" applyFill="1" applyBorder="1" applyAlignment="1" applyProtection="1">
      <alignment horizontal="left"/>
      <protection locked="0"/>
    </xf>
    <xf numFmtId="0" fontId="168" fillId="45" borderId="72" xfId="8736" applyFont="1" applyFill="1" applyBorder="1" applyAlignment="1">
      <alignment horizontal="center"/>
    </xf>
    <xf numFmtId="0" fontId="168" fillId="45" borderId="11" xfId="8736" applyFont="1" applyFill="1" applyBorder="1" applyAlignment="1">
      <alignment horizontal="center"/>
    </xf>
    <xf numFmtId="0" fontId="168" fillId="45" borderId="3" xfId="8736" applyFont="1" applyFill="1" applyBorder="1" applyAlignment="1">
      <alignment horizontal="center"/>
    </xf>
    <xf numFmtId="0" fontId="168" fillId="45" borderId="4" xfId="8736" applyFont="1" applyFill="1" applyBorder="1" applyAlignment="1">
      <alignment horizontal="center"/>
    </xf>
    <xf numFmtId="0" fontId="168" fillId="45" borderId="81" xfId="8736" applyFont="1" applyFill="1" applyBorder="1" applyAlignment="1">
      <alignment horizontal="center"/>
    </xf>
    <xf numFmtId="0" fontId="105" fillId="45" borderId="69" xfId="8736" applyFont="1" applyFill="1" applyBorder="1" applyAlignment="1">
      <alignment horizontal="center"/>
    </xf>
    <xf numFmtId="0" fontId="105" fillId="45" borderId="70" xfId="8736" applyFont="1" applyFill="1" applyBorder="1" applyAlignment="1">
      <alignment horizontal="center"/>
    </xf>
    <xf numFmtId="0" fontId="174" fillId="44" borderId="72" xfId="8736" applyFont="1" applyFill="1" applyBorder="1" applyAlignment="1" applyProtection="1">
      <alignment horizontal="right"/>
      <protection locked="0"/>
    </xf>
    <xf numFmtId="0" fontId="174" fillId="44" borderId="11" xfId="8736" applyFont="1" applyFill="1" applyBorder="1" applyAlignment="1" applyProtection="1">
      <alignment horizontal="right"/>
      <protection locked="0"/>
    </xf>
    <xf numFmtId="0" fontId="174" fillId="44" borderId="76" xfId="8736" applyFont="1" applyFill="1" applyBorder="1" applyAlignment="1" applyProtection="1">
      <alignment horizontal="right"/>
      <protection locked="0"/>
    </xf>
    <xf numFmtId="0" fontId="174" fillId="48" borderId="5" xfId="8736" applyFont="1" applyFill="1" applyBorder="1" applyAlignment="1" applyProtection="1">
      <alignment horizontal="left"/>
      <protection locked="0"/>
    </xf>
    <xf numFmtId="0" fontId="174" fillId="44" borderId="69" xfId="8736" applyFont="1" applyFill="1" applyBorder="1" applyAlignment="1" applyProtection="1">
      <alignment horizontal="right"/>
      <protection locked="0"/>
    </xf>
    <xf numFmtId="0" fontId="174" fillId="44" borderId="70" xfId="8736" applyFont="1" applyFill="1" applyBorder="1" applyAlignment="1" applyProtection="1">
      <alignment horizontal="right"/>
      <protection locked="0"/>
    </xf>
    <xf numFmtId="0" fontId="174" fillId="44" borderId="77" xfId="8736" applyFont="1" applyFill="1" applyBorder="1" applyAlignment="1" applyProtection="1">
      <alignment horizontal="right"/>
      <protection locked="0"/>
    </xf>
    <xf numFmtId="0" fontId="174" fillId="48" borderId="95" xfId="8736" applyFont="1" applyFill="1" applyBorder="1" applyAlignment="1" applyProtection="1">
      <alignment horizontal="left"/>
      <protection locked="0"/>
    </xf>
    <xf numFmtId="0" fontId="168" fillId="45" borderId="65" xfId="8736" applyFont="1" applyFill="1" applyBorder="1" applyAlignment="1">
      <alignment horizontal="center"/>
    </xf>
    <xf numFmtId="0" fontId="168" fillId="45" borderId="29" xfId="8736" applyFont="1" applyFill="1" applyBorder="1" applyAlignment="1">
      <alignment horizontal="center"/>
    </xf>
    <xf numFmtId="0" fontId="168" fillId="45" borderId="31"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 fontId="174" fillId="48" borderId="11" xfId="8736" applyNumberFormat="1" applyFont="1" applyFill="1" applyBorder="1" applyAlignment="1" applyProtection="1">
      <alignment horizontal="center"/>
      <protection locked="0"/>
    </xf>
    <xf numFmtId="0" fontId="174" fillId="48" borderId="11" xfId="700" applyNumberFormat="1" applyFont="1" applyFill="1" applyBorder="1" applyAlignment="1" applyProtection="1">
      <alignment horizontal="left"/>
      <protection locked="0"/>
    </xf>
    <xf numFmtId="0" fontId="174" fillId="48" borderId="76" xfId="700" applyNumberFormat="1" applyFont="1" applyFill="1" applyBorder="1" applyAlignment="1" applyProtection="1">
      <alignment horizontal="left"/>
      <protection locked="0"/>
    </xf>
    <xf numFmtId="168" fontId="175" fillId="45" borderId="70" xfId="8737" applyNumberFormat="1" applyFont="1" applyFill="1" applyBorder="1" applyAlignment="1">
      <alignment horizontal="center"/>
    </xf>
    <xf numFmtId="1" fontId="175" fillId="45" borderId="70" xfId="8737" applyNumberFormat="1" applyFont="1" applyFill="1" applyBorder="1" applyAlignment="1">
      <alignment horizontal="center"/>
    </xf>
    <xf numFmtId="0" fontId="175" fillId="45" borderId="70" xfId="8737" applyNumberFormat="1" applyFont="1" applyFill="1" applyBorder="1" applyAlignment="1">
      <alignment horizontal="center"/>
    </xf>
    <xf numFmtId="0" fontId="175" fillId="45" borderId="77" xfId="8737" applyNumberFormat="1" applyFont="1" applyFill="1" applyBorder="1" applyAlignment="1">
      <alignment horizontal="center"/>
    </xf>
    <xf numFmtId="0" fontId="167" fillId="45" borderId="11" xfId="8736" applyFont="1" applyFill="1" applyBorder="1" applyAlignment="1">
      <alignment horizontal="center" vertical="center" wrapText="1"/>
    </xf>
    <xf numFmtId="0" fontId="167" fillId="45" borderId="76" xfId="8736" applyFont="1" applyFill="1" applyBorder="1" applyAlignment="1">
      <alignment horizontal="center" vertical="center" wrapText="1"/>
    </xf>
    <xf numFmtId="1" fontId="179" fillId="48" borderId="70" xfId="8736" applyNumberFormat="1" applyFont="1" applyFill="1" applyBorder="1" applyAlignment="1" applyProtection="1">
      <alignment horizontal="center"/>
      <protection locked="0"/>
    </xf>
    <xf numFmtId="1" fontId="179" fillId="48" borderId="94" xfId="8736" applyNumberFormat="1" applyFont="1" applyFill="1" applyBorder="1" applyAlignment="1" applyProtection="1">
      <alignment horizontal="center"/>
      <protection locked="0"/>
    </xf>
    <xf numFmtId="1" fontId="179" fillId="48" borderId="86" xfId="8736" applyNumberFormat="1" applyFont="1" applyFill="1" applyBorder="1" applyAlignment="1" applyProtection="1">
      <alignment horizontal="center"/>
      <protection locked="0"/>
    </xf>
    <xf numFmtId="1" fontId="179" fillId="48" borderId="95" xfId="8736" applyNumberFormat="1" applyFont="1" applyFill="1" applyBorder="1" applyAlignment="1" applyProtection="1">
      <alignment horizontal="center"/>
      <protection locked="0"/>
    </xf>
    <xf numFmtId="1" fontId="179" fillId="48" borderId="3" xfId="8736" applyNumberFormat="1" applyFont="1" applyFill="1" applyBorder="1" applyAlignment="1" applyProtection="1">
      <alignment horizontal="center"/>
      <protection locked="0"/>
    </xf>
    <xf numFmtId="1" fontId="179" fillId="48" borderId="4" xfId="8736" applyNumberFormat="1" applyFont="1" applyFill="1" applyBorder="1" applyAlignment="1" applyProtection="1">
      <alignment horizontal="center"/>
      <protection locked="0"/>
    </xf>
    <xf numFmtId="1" fontId="179" fillId="48" borderId="5" xfId="8736" applyNumberFormat="1" applyFont="1" applyFill="1" applyBorder="1" applyAlignment="1" applyProtection="1">
      <alignment horizontal="center"/>
      <protection locked="0"/>
    </xf>
    <xf numFmtId="1" fontId="167" fillId="44" borderId="3" xfId="8736" applyNumberFormat="1" applyFont="1" applyFill="1" applyBorder="1" applyAlignment="1">
      <alignment horizontal="center"/>
    </xf>
    <xf numFmtId="1" fontId="167" fillId="44" borderId="4" xfId="8736" applyNumberFormat="1" applyFont="1" applyFill="1" applyBorder="1" applyAlignment="1">
      <alignment horizontal="center"/>
    </xf>
    <xf numFmtId="1" fontId="167" fillId="44" borderId="5" xfId="8736" applyNumberFormat="1" applyFont="1" applyFill="1" applyBorder="1" applyAlignment="1">
      <alignment horizontal="center"/>
    </xf>
    <xf numFmtId="9" fontId="167" fillId="44" borderId="3" xfId="8738" applyFont="1" applyFill="1" applyBorder="1" applyAlignment="1">
      <alignment horizontal="center"/>
    </xf>
    <xf numFmtId="9" fontId="167" fillId="44" borderId="4" xfId="8738" applyFont="1" applyFill="1" applyBorder="1" applyAlignment="1">
      <alignment horizontal="center"/>
    </xf>
    <xf numFmtId="9" fontId="167" fillId="44" borderId="81" xfId="8738" applyFont="1" applyFill="1" applyBorder="1" applyAlignment="1">
      <alignment horizontal="center"/>
    </xf>
    <xf numFmtId="0" fontId="174" fillId="48" borderId="69" xfId="8736" applyFont="1" applyFill="1" applyBorder="1" applyAlignment="1" applyProtection="1">
      <alignment horizontal="right"/>
      <protection locked="0"/>
    </xf>
    <xf numFmtId="0" fontId="174" fillId="48" borderId="70" xfId="8736" applyFont="1" applyFill="1" applyBorder="1" applyAlignment="1" applyProtection="1">
      <alignment horizontal="right"/>
      <protection locked="0"/>
    </xf>
    <xf numFmtId="0" fontId="179" fillId="48" borderId="70" xfId="8736" applyFont="1" applyFill="1" applyBorder="1" applyAlignment="1" applyProtection="1">
      <alignment horizontal="center"/>
      <protection locked="0"/>
    </xf>
    <xf numFmtId="9" fontId="167" fillId="44" borderId="94" xfId="8738" applyFont="1" applyFill="1" applyBorder="1" applyAlignment="1">
      <alignment horizontal="center"/>
    </xf>
    <xf numFmtId="9" fontId="167" fillId="44" borderId="86" xfId="8738" applyFont="1" applyFill="1" applyBorder="1" applyAlignment="1">
      <alignment horizontal="center"/>
    </xf>
    <xf numFmtId="9" fontId="167" fillId="44" borderId="85" xfId="8738" applyFont="1" applyFill="1" applyBorder="1" applyAlignment="1">
      <alignment horizontal="center"/>
    </xf>
    <xf numFmtId="0" fontId="179" fillId="48" borderId="11" xfId="8736" applyFont="1" applyFill="1" applyBorder="1" applyAlignment="1" applyProtection="1">
      <alignment horizontal="center"/>
      <protection locked="0"/>
    </xf>
    <xf numFmtId="1" fontId="179" fillId="48" borderId="11" xfId="8736" applyNumberFormat="1" applyFont="1" applyFill="1" applyBorder="1" applyAlignment="1" applyProtection="1">
      <alignment horizontal="center"/>
      <protection locked="0"/>
    </xf>
    <xf numFmtId="0" fontId="175" fillId="44" borderId="101" xfId="8736" applyFont="1" applyFill="1" applyBorder="1" applyAlignment="1">
      <alignment horizontal="center"/>
    </xf>
    <xf numFmtId="0" fontId="175" fillId="44" borderId="42" xfId="8736" applyFont="1" applyFill="1" applyBorder="1" applyAlignment="1">
      <alignment horizontal="center"/>
    </xf>
    <xf numFmtId="0" fontId="175" fillId="44" borderId="96" xfId="8736" applyFont="1" applyFill="1" applyBorder="1" applyAlignment="1">
      <alignment horizontal="center"/>
    </xf>
    <xf numFmtId="9" fontId="175" fillId="44" borderId="101" xfId="1022" applyFont="1" applyFill="1" applyBorder="1" applyAlignment="1">
      <alignment horizontal="center"/>
    </xf>
    <xf numFmtId="9" fontId="175" fillId="44" borderId="42" xfId="1022" applyFont="1" applyFill="1" applyBorder="1" applyAlignment="1">
      <alignment horizontal="center"/>
    </xf>
    <xf numFmtId="9" fontId="175" fillId="44" borderId="44" xfId="1022" applyFont="1" applyFill="1" applyBorder="1" applyAlignment="1">
      <alignment horizontal="center"/>
    </xf>
    <xf numFmtId="0" fontId="168" fillId="45" borderId="80" xfId="8736" applyFont="1" applyFill="1" applyBorder="1" applyAlignment="1">
      <alignment horizontal="center"/>
    </xf>
    <xf numFmtId="0" fontId="168" fillId="45" borderId="79" xfId="8736" applyFont="1" applyFill="1" applyBorder="1" applyAlignment="1">
      <alignment horizontal="center"/>
    </xf>
    <xf numFmtId="0" fontId="168" fillId="45" borderId="78" xfId="8736" applyFont="1" applyFill="1" applyBorder="1" applyAlignment="1">
      <alignment horizontal="center"/>
    </xf>
    <xf numFmtId="0" fontId="167" fillId="45" borderId="98" xfId="8736" applyFont="1" applyFill="1" applyBorder="1" applyAlignment="1">
      <alignment horizontal="center" vertical="center" wrapText="1"/>
    </xf>
    <xf numFmtId="0" fontId="167" fillId="45" borderId="13" xfId="8736" applyFont="1" applyFill="1" applyBorder="1" applyAlignment="1">
      <alignment horizontal="center" vertical="center"/>
    </xf>
    <xf numFmtId="0" fontId="167" fillId="45" borderId="72" xfId="8736" applyFont="1" applyFill="1" applyBorder="1" applyAlignment="1">
      <alignment horizontal="center" vertical="center"/>
    </xf>
    <xf numFmtId="0" fontId="167" fillId="45" borderId="11" xfId="8736" applyFont="1" applyFill="1" applyBorder="1" applyAlignment="1">
      <alignment horizontal="center" vertical="center"/>
    </xf>
    <xf numFmtId="0" fontId="175" fillId="45" borderId="13" xfId="8736" applyFont="1" applyFill="1" applyBorder="1" applyAlignment="1">
      <alignment horizontal="center" vertical="center" wrapText="1"/>
    </xf>
    <xf numFmtId="0" fontId="175" fillId="45" borderId="13" xfId="8736" applyFont="1" applyFill="1" applyBorder="1" applyAlignment="1">
      <alignment horizontal="center" vertical="center"/>
    </xf>
    <xf numFmtId="0" fontId="175" fillId="45" borderId="11" xfId="8736" applyFont="1" applyFill="1" applyBorder="1" applyAlignment="1">
      <alignment horizontal="center" vertical="center"/>
    </xf>
    <xf numFmtId="0" fontId="175" fillId="45" borderId="9" xfId="8736" applyFont="1" applyFill="1" applyBorder="1" applyAlignment="1">
      <alignment horizontal="center" vertical="center"/>
    </xf>
    <xf numFmtId="0" fontId="175" fillId="45" borderId="3" xfId="8736" applyFont="1" applyFill="1" applyBorder="1" applyAlignment="1">
      <alignment horizontal="center" vertic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7" fillId="45" borderId="65" xfId="8736" applyFont="1" applyFill="1" applyBorder="1" applyAlignment="1">
      <alignment horizontal="center" vertical="center" wrapText="1"/>
    </xf>
    <xf numFmtId="0" fontId="167" fillId="45" borderId="29" xfId="8736" applyFont="1" applyFill="1" applyBorder="1" applyAlignment="1">
      <alignment horizontal="center" vertical="center" wrapText="1"/>
    </xf>
    <xf numFmtId="0" fontId="167" fillId="45" borderId="31" xfId="8736" applyFont="1" applyFill="1" applyBorder="1" applyAlignment="1">
      <alignment horizontal="center" vertical="center" wrapText="1"/>
    </xf>
    <xf numFmtId="0" fontId="167" fillId="45" borderId="73" xfId="8736" applyFont="1" applyFill="1" applyBorder="1" applyAlignment="1">
      <alignment horizontal="center" vertical="center" wrapText="1"/>
    </xf>
    <xf numFmtId="0" fontId="167" fillId="45" borderId="42" xfId="8736" applyFont="1" applyFill="1" applyBorder="1" applyAlignment="1">
      <alignment horizontal="center" vertical="center" wrapText="1"/>
    </xf>
    <xf numFmtId="0" fontId="167" fillId="45" borderId="44" xfId="8736" applyFont="1" applyFill="1" applyBorder="1" applyAlignment="1">
      <alignment horizontal="center" vertical="center" wrapText="1"/>
    </xf>
    <xf numFmtId="9" fontId="175" fillId="48" borderId="13" xfId="8736" applyNumberFormat="1" applyFont="1" applyFill="1" applyBorder="1" applyAlignment="1" applyProtection="1">
      <alignment horizontal="center"/>
      <protection locked="0"/>
    </xf>
    <xf numFmtId="0" fontId="175" fillId="44" borderId="73" xfId="8736" applyFont="1" applyFill="1" applyBorder="1" applyAlignment="1">
      <alignment horizontal="center"/>
    </xf>
    <xf numFmtId="0" fontId="167" fillId="44" borderId="9" xfId="8736" applyFont="1" applyFill="1" applyBorder="1" applyAlignment="1">
      <alignment horizontal="center"/>
    </xf>
    <xf numFmtId="0" fontId="167" fillId="44" borderId="6" xfId="8736" applyFont="1" applyFill="1" applyBorder="1" applyAlignment="1">
      <alignment horizontal="center"/>
    </xf>
    <xf numFmtId="0" fontId="167" fillId="44" borderId="82" xfId="8736" applyFont="1" applyFill="1" applyBorder="1" applyAlignment="1">
      <alignment horizontal="center"/>
    </xf>
    <xf numFmtId="9" fontId="175" fillId="48" borderId="9" xfId="8736" applyNumberFormat="1" applyFont="1" applyFill="1" applyBorder="1" applyAlignment="1" applyProtection="1">
      <alignment horizontal="center"/>
      <protection locked="0"/>
    </xf>
    <xf numFmtId="9" fontId="175" fillId="48" borderId="6" xfId="8736" applyNumberFormat="1" applyFont="1" applyFill="1" applyBorder="1" applyAlignment="1" applyProtection="1">
      <alignment horizontal="center"/>
      <protection locked="0"/>
    </xf>
    <xf numFmtId="9" fontId="175" fillId="48" borderId="10" xfId="8736" applyNumberFormat="1" applyFont="1" applyFill="1" applyBorder="1" applyAlignment="1" applyProtection="1">
      <alignment horizontal="center"/>
      <protection locked="0"/>
    </xf>
    <xf numFmtId="9" fontId="167" fillId="48" borderId="9" xfId="8736" applyNumberFormat="1" applyFont="1" applyFill="1" applyBorder="1" applyAlignment="1" applyProtection="1">
      <alignment horizontal="center"/>
      <protection locked="0"/>
    </xf>
    <xf numFmtId="9" fontId="167" fillId="48" borderId="6" xfId="8736" applyNumberFormat="1" applyFont="1" applyFill="1" applyBorder="1" applyAlignment="1" applyProtection="1">
      <alignment horizontal="center"/>
      <protection locked="0"/>
    </xf>
    <xf numFmtId="9" fontId="167" fillId="48" borderId="10" xfId="8736" applyNumberFormat="1" applyFont="1" applyFill="1" applyBorder="1" applyAlignment="1" applyProtection="1">
      <alignment horizontal="center"/>
      <protection locked="0"/>
    </xf>
    <xf numFmtId="0" fontId="167" fillId="44" borderId="10" xfId="8736" applyFont="1" applyFill="1" applyBorder="1" applyAlignment="1">
      <alignment horizontal="center"/>
    </xf>
    <xf numFmtId="0" fontId="174" fillId="48" borderId="3" xfId="8736" applyFont="1" applyFill="1" applyBorder="1" applyAlignment="1" applyProtection="1">
      <alignment horizontal="center"/>
      <protection locked="0"/>
    </xf>
    <xf numFmtId="0" fontId="174" fillId="48" borderId="4" xfId="8736" applyFont="1" applyFill="1" applyBorder="1" applyAlignment="1" applyProtection="1">
      <alignment horizontal="center"/>
      <protection locked="0"/>
    </xf>
    <xf numFmtId="0" fontId="174" fillId="48" borderId="5" xfId="8736" applyFont="1" applyFill="1" applyBorder="1" applyAlignment="1" applyProtection="1">
      <alignment horizontal="center"/>
      <protection locked="0"/>
    </xf>
    <xf numFmtId="10" fontId="175" fillId="44" borderId="3" xfId="8736" applyNumberFormat="1" applyFont="1" applyFill="1" applyBorder="1" applyAlignment="1">
      <alignment horizontal="center"/>
    </xf>
    <xf numFmtId="10" fontId="175" fillId="44" borderId="4" xfId="8736" applyNumberFormat="1" applyFont="1" applyFill="1" applyBorder="1" applyAlignment="1">
      <alignment horizontal="center"/>
    </xf>
    <xf numFmtId="10" fontId="175" fillId="44" borderId="81" xfId="8736" applyNumberFormat="1" applyFont="1" applyFill="1" applyBorder="1" applyAlignment="1">
      <alignment horizontal="center"/>
    </xf>
    <xf numFmtId="0" fontId="175" fillId="44" borderId="87" xfId="8736" applyFont="1" applyFill="1" applyBorder="1" applyAlignment="1">
      <alignment horizontal="center"/>
    </xf>
    <xf numFmtId="0" fontId="175" fillId="44" borderId="86" xfId="8736" applyFont="1" applyFill="1" applyBorder="1" applyAlignment="1">
      <alignment horizontal="center"/>
    </xf>
    <xf numFmtId="0" fontId="175" fillId="44" borderId="95" xfId="8736" applyFont="1" applyFill="1" applyBorder="1" applyAlignment="1">
      <alignment horizontal="center"/>
    </xf>
    <xf numFmtId="0" fontId="174" fillId="44" borderId="94"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10" fontId="175" fillId="44" borderId="94" xfId="8736" applyNumberFormat="1" applyFont="1" applyFill="1" applyBorder="1" applyAlignment="1">
      <alignment horizontal="center"/>
    </xf>
    <xf numFmtId="10" fontId="175" fillId="44" borderId="86" xfId="8736" applyNumberFormat="1" applyFont="1" applyFill="1" applyBorder="1" applyAlignment="1">
      <alignment horizontal="center"/>
    </xf>
    <xf numFmtId="10" fontId="175" fillId="44" borderId="85" xfId="8736" applyNumberFormat="1" applyFont="1" applyFill="1" applyBorder="1" applyAlignment="1">
      <alignment horizontal="center"/>
    </xf>
    <xf numFmtId="9" fontId="174" fillId="48" borderId="90" xfId="8736" applyNumberFormat="1" applyFont="1" applyFill="1" applyBorder="1" applyAlignment="1" applyProtection="1">
      <alignment horizontal="center"/>
      <protection locked="0"/>
    </xf>
    <xf numFmtId="9" fontId="174" fillId="48" borderId="4" xfId="8736" applyNumberFormat="1" applyFont="1" applyFill="1" applyBorder="1" applyAlignment="1" applyProtection="1">
      <alignment horizontal="center"/>
      <protection locked="0"/>
    </xf>
    <xf numFmtId="9" fontId="174" fillId="48" borderId="5" xfId="8736" applyNumberFormat="1" applyFont="1" applyFill="1" applyBorder="1" applyAlignment="1" applyProtection="1">
      <alignment horizontal="center"/>
      <protection locked="0"/>
    </xf>
    <xf numFmtId="0" fontId="174" fillId="44" borderId="3" xfId="8736" applyFont="1" applyFill="1" applyBorder="1" applyAlignment="1">
      <alignment horizontal="center"/>
    </xf>
    <xf numFmtId="0" fontId="174" fillId="44" borderId="4" xfId="8736" applyFont="1" applyFill="1" applyBorder="1" applyAlignment="1">
      <alignment horizontal="center"/>
    </xf>
    <xf numFmtId="0" fontId="174" fillId="44" borderId="5" xfId="8736" applyFont="1" applyFill="1" applyBorder="1" applyAlignment="1">
      <alignment horizontal="center"/>
    </xf>
    <xf numFmtId="0" fontId="105" fillId="45" borderId="80" xfId="8736" applyFont="1" applyFill="1" applyBorder="1" applyAlignment="1">
      <alignment horizontal="right"/>
    </xf>
    <xf numFmtId="0" fontId="105" fillId="45" borderId="79" xfId="8736" applyFont="1" applyFill="1" applyBorder="1" applyAlignment="1">
      <alignment horizontal="right"/>
    </xf>
    <xf numFmtId="0" fontId="105" fillId="45" borderId="103" xfId="8736" applyFont="1" applyFill="1" applyBorder="1" applyAlignment="1">
      <alignment horizontal="right"/>
    </xf>
    <xf numFmtId="0" fontId="4" fillId="44" borderId="84" xfId="8736" applyFill="1" applyBorder="1" applyAlignment="1">
      <alignment horizontal="center"/>
    </xf>
    <xf numFmtId="0" fontId="4" fillId="44" borderId="102" xfId="8736" applyFill="1" applyBorder="1" applyAlignment="1">
      <alignment horizontal="center"/>
    </xf>
    <xf numFmtId="0" fontId="175" fillId="45" borderId="11" xfId="8736" applyFont="1" applyFill="1" applyBorder="1" applyAlignment="1">
      <alignment horizontal="right"/>
    </xf>
    <xf numFmtId="14" fontId="171" fillId="48" borderId="11" xfId="8736" applyNumberFormat="1" applyFont="1" applyFill="1" applyBorder="1" applyAlignment="1" applyProtection="1">
      <alignment horizontal="center" vertical="center"/>
      <protection locked="0"/>
    </xf>
    <xf numFmtId="0" fontId="171" fillId="48" borderId="11" xfId="8736" applyFont="1" applyFill="1" applyBorder="1" applyAlignment="1" applyProtection="1">
      <alignment horizontal="center" vertical="center"/>
      <protection locked="0"/>
    </xf>
    <xf numFmtId="0" fontId="175" fillId="45" borderId="97" xfId="8736" applyFont="1" applyFill="1" applyBorder="1" applyAlignment="1">
      <alignment horizontal="center"/>
    </xf>
    <xf numFmtId="0" fontId="175" fillId="45" borderId="2" xfId="8736" applyFont="1" applyFill="1" applyBorder="1" applyAlignment="1">
      <alignment horizontal="center"/>
    </xf>
    <xf numFmtId="0" fontId="175" fillId="45" borderId="7" xfId="8736" applyFont="1" applyFill="1" applyBorder="1" applyAlignment="1">
      <alignment horizontal="center"/>
    </xf>
    <xf numFmtId="0" fontId="175" fillId="45" borderId="3" xfId="8736" applyFont="1" applyFill="1" applyBorder="1" applyAlignment="1">
      <alignment horizontal="center"/>
    </xf>
    <xf numFmtId="0" fontId="175" fillId="45" borderId="4" xfId="8736" applyFont="1" applyFill="1" applyBorder="1" applyAlignment="1">
      <alignment horizontal="center"/>
    </xf>
    <xf numFmtId="0" fontId="175" fillId="45" borderId="5" xfId="8736" applyFont="1" applyFill="1" applyBorder="1" applyAlignment="1">
      <alignment horizontal="center"/>
    </xf>
    <xf numFmtId="0" fontId="175" fillId="45" borderId="81" xfId="8736" applyFont="1" applyFill="1" applyBorder="1" applyAlignment="1">
      <alignment horizontal="center"/>
    </xf>
    <xf numFmtId="0" fontId="105" fillId="45" borderId="80" xfId="8736" applyFont="1" applyFill="1" applyBorder="1" applyAlignment="1">
      <alignment horizontal="center"/>
    </xf>
    <xf numFmtId="0" fontId="105" fillId="45" borderId="79" xfId="8736" applyFont="1" applyFill="1" applyBorder="1" applyAlignment="1">
      <alignment horizontal="center"/>
    </xf>
    <xf numFmtId="0" fontId="105" fillId="45" borderId="78" xfId="8736" applyFont="1" applyFill="1" applyBorder="1" applyAlignment="1">
      <alignment horizontal="center"/>
    </xf>
    <xf numFmtId="0" fontId="171" fillId="48" borderId="80" xfId="8736" applyFont="1" applyFill="1" applyBorder="1" applyAlignment="1" applyProtection="1">
      <alignment horizontal="center"/>
      <protection locked="0"/>
    </xf>
    <xf numFmtId="0" fontId="171" fillId="48" borderId="79" xfId="8736" applyFont="1" applyFill="1" applyBorder="1" applyAlignment="1" applyProtection="1">
      <alignment horizontal="center"/>
      <protection locked="0"/>
    </xf>
    <xf numFmtId="0" fontId="171" fillId="48" borderId="78" xfId="8736" applyFont="1" applyFill="1" applyBorder="1" applyAlignment="1" applyProtection="1">
      <alignment horizontal="center"/>
      <protection locked="0"/>
    </xf>
    <xf numFmtId="1" fontId="4" fillId="44" borderId="11" xfId="8736" applyNumberFormat="1" applyFill="1" applyBorder="1" applyAlignment="1">
      <alignment horizontal="center"/>
    </xf>
    <xf numFmtId="0" fontId="4" fillId="44" borderId="11" xfId="8736" applyFill="1" applyBorder="1" applyAlignment="1">
      <alignment horizontal="center"/>
    </xf>
    <xf numFmtId="0" fontId="172" fillId="45" borderId="11" xfId="8736" applyFont="1" applyFill="1" applyBorder="1" applyAlignment="1">
      <alignment horizontal="right" wrapText="1"/>
    </xf>
    <xf numFmtId="168" fontId="176" fillId="44" borderId="11" xfId="8737" applyNumberFormat="1" applyFont="1" applyFill="1" applyBorder="1" applyAlignment="1" applyProtection="1">
      <alignment horizontal="left"/>
    </xf>
    <xf numFmtId="0" fontId="178" fillId="45" borderId="11" xfId="8736" applyFont="1" applyFill="1" applyBorder="1" applyAlignment="1">
      <alignment horizontal="right"/>
    </xf>
    <xf numFmtId="14" fontId="171" fillId="48" borderId="11" xfId="8736" applyNumberFormat="1" applyFont="1" applyFill="1" applyBorder="1" applyAlignment="1" applyProtection="1">
      <alignment horizontal="center"/>
      <protection locked="0"/>
    </xf>
    <xf numFmtId="0" fontId="171" fillId="48" borderId="11" xfId="8736" applyFont="1" applyFill="1" applyBorder="1" applyAlignment="1" applyProtection="1">
      <alignment horizontal="center"/>
      <protection locked="0"/>
    </xf>
    <xf numFmtId="0" fontId="172" fillId="45" borderId="11" xfId="8736" applyFont="1" applyFill="1" applyBorder="1" applyAlignment="1">
      <alignment horizontal="right"/>
    </xf>
    <xf numFmtId="1" fontId="171" fillId="48" borderId="11" xfId="8736" applyNumberFormat="1" applyFont="1" applyFill="1" applyBorder="1" applyAlignment="1" applyProtection="1">
      <alignment horizontal="center"/>
      <protection locked="0"/>
    </xf>
    <xf numFmtId="0" fontId="4" fillId="44" borderId="80" xfId="8736" applyFill="1" applyBorder="1" applyAlignment="1">
      <alignment horizontal="center"/>
    </xf>
    <xf numFmtId="0" fontId="4" fillId="44" borderId="79" xfId="8736" applyFill="1" applyBorder="1" applyAlignment="1">
      <alignment horizontal="center"/>
    </xf>
    <xf numFmtId="0" fontId="4" fillId="44" borderId="78" xfId="8736" applyFill="1" applyBorder="1" applyAlignment="1">
      <alignment horizontal="center"/>
    </xf>
    <xf numFmtId="0" fontId="4" fillId="45" borderId="3" xfId="8736" applyFill="1" applyBorder="1" applyAlignment="1">
      <alignment horizontal="center"/>
    </xf>
    <xf numFmtId="0" fontId="4" fillId="45" borderId="4" xfId="8736" applyFill="1" applyBorder="1" applyAlignment="1">
      <alignment horizontal="center"/>
    </xf>
    <xf numFmtId="0" fontId="4" fillId="45" borderId="5" xfId="8736" applyFill="1" applyBorder="1" applyAlignment="1">
      <alignment horizontal="center"/>
    </xf>
    <xf numFmtId="0" fontId="171" fillId="44" borderId="80" xfId="8736" applyFont="1" applyFill="1" applyBorder="1" applyAlignment="1">
      <alignment horizontal="left"/>
    </xf>
    <xf numFmtId="0" fontId="171" fillId="44" borderId="79" xfId="8736" applyFont="1" applyFill="1" applyBorder="1" applyAlignment="1">
      <alignment horizontal="left"/>
    </xf>
    <xf numFmtId="0" fontId="171" fillId="44" borderId="78" xfId="8736" applyFont="1" applyFill="1" applyBorder="1" applyAlignment="1">
      <alignment horizontal="left"/>
    </xf>
    <xf numFmtId="0" fontId="183" fillId="51" borderId="65" xfId="8736" applyFont="1" applyFill="1" applyBorder="1" applyAlignment="1">
      <alignment horizontal="center"/>
    </xf>
    <xf numFmtId="0" fontId="183" fillId="51" borderId="29" xfId="8736" applyFont="1" applyFill="1" applyBorder="1" applyAlignment="1">
      <alignment horizontal="center"/>
    </xf>
    <xf numFmtId="0" fontId="183" fillId="51" borderId="31" xfId="8736" applyFont="1" applyFill="1" applyBorder="1" applyAlignment="1">
      <alignment horizontal="center"/>
    </xf>
    <xf numFmtId="0" fontId="168" fillId="48" borderId="66" xfId="8736" applyFont="1" applyFill="1" applyBorder="1" applyAlignment="1">
      <alignment horizontal="center"/>
    </xf>
    <xf numFmtId="0" fontId="168" fillId="48" borderId="0" xfId="8736" applyFont="1" applyFill="1" applyAlignment="1">
      <alignment horizontal="center"/>
    </xf>
    <xf numFmtId="0" fontId="168" fillId="48" borderId="41" xfId="8736" applyFont="1" applyFill="1" applyBorder="1" applyAlignment="1">
      <alignment horizontal="center"/>
    </xf>
    <xf numFmtId="0" fontId="168" fillId="45" borderId="5" xfId="8736" applyFont="1" applyFill="1" applyBorder="1" applyAlignment="1">
      <alignment horizontal="center"/>
    </xf>
    <xf numFmtId="168" fontId="20" fillId="2" borderId="3" xfId="569" applyNumberFormat="1" applyFill="1" applyBorder="1" applyAlignment="1">
      <alignment horizontal="center"/>
    </xf>
    <xf numFmtId="168" fontId="20" fillId="2" borderId="4" xfId="569" applyNumberFormat="1" applyFill="1" applyBorder="1" applyAlignment="1">
      <alignment horizontal="center"/>
    </xf>
    <xf numFmtId="168" fontId="20" fillId="2" borderId="5" xfId="569" applyNumberFormat="1" applyFill="1" applyBorder="1" applyAlignment="1">
      <alignment horizontal="center"/>
    </xf>
    <xf numFmtId="168" fontId="20" fillId="5" borderId="5" xfId="569" applyNumberFormat="1" applyFill="1" applyBorder="1" applyAlignment="1" applyProtection="1">
      <alignment horizontal="center"/>
      <protection locked="0"/>
    </xf>
    <xf numFmtId="168" fontId="20" fillId="5" borderId="11" xfId="569" applyNumberFormat="1" applyFill="1" applyBorder="1" applyAlignment="1" applyProtection="1">
      <alignment horizontal="center"/>
      <protection locked="0"/>
    </xf>
    <xf numFmtId="168" fontId="20" fillId="0" borderId="5" xfId="569" applyNumberFormat="1" applyBorder="1" applyAlignment="1">
      <alignment horizontal="center"/>
    </xf>
    <xf numFmtId="168" fontId="20" fillId="0" borderId="11" xfId="569" applyNumberFormat="1" applyBorder="1" applyAlignment="1">
      <alignment horizontal="center"/>
    </xf>
    <xf numFmtId="168" fontId="20" fillId="0" borderId="3" xfId="569" applyNumberFormat="1" applyBorder="1" applyAlignment="1">
      <alignment horizontal="center"/>
    </xf>
    <xf numFmtId="168" fontId="20" fillId="0" borderId="4" xfId="569" applyNumberFormat="1" applyBorder="1" applyAlignment="1">
      <alignment horizontal="center"/>
    </xf>
    <xf numFmtId="179" fontId="27" fillId="0" borderId="0" xfId="569" applyNumberFormat="1" applyFont="1" applyAlignment="1">
      <alignment horizontal="center" wrapText="1"/>
    </xf>
    <xf numFmtId="0" fontId="27" fillId="0" borderId="16" xfId="271" applyFont="1" applyBorder="1" applyAlignment="1">
      <alignment horizontal="center"/>
    </xf>
    <xf numFmtId="164" fontId="27" fillId="0" borderId="0" xfId="569" applyNumberFormat="1" applyFont="1" applyAlignment="1">
      <alignment horizontal="center" wrapText="1"/>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56" fillId="0" borderId="0" xfId="569" applyFont="1" applyAlignment="1">
      <alignment horizontal="left"/>
    </xf>
    <xf numFmtId="0" fontId="20" fillId="0" borderId="3" xfId="569" applyBorder="1" applyAlignment="1">
      <alignment horizontal="right"/>
    </xf>
    <xf numFmtId="0" fontId="20" fillId="0" borderId="4" xfId="569" applyBorder="1" applyAlignment="1">
      <alignment horizontal="right"/>
    </xf>
    <xf numFmtId="0" fontId="20" fillId="0" borderId="5" xfId="569" applyBorder="1" applyAlignment="1">
      <alignment horizontal="right"/>
    </xf>
    <xf numFmtId="0" fontId="28" fillId="0" borderId="3" xfId="569" applyFont="1" applyBorder="1" applyAlignment="1">
      <alignment horizontal="right"/>
    </xf>
    <xf numFmtId="0" fontId="28" fillId="0" borderId="4" xfId="569" applyFont="1" applyBorder="1" applyAlignment="1">
      <alignment horizontal="right"/>
    </xf>
    <xf numFmtId="0" fontId="28" fillId="0" borderId="5" xfId="569" applyFont="1" applyBorder="1" applyAlignment="1">
      <alignment horizontal="right"/>
    </xf>
    <xf numFmtId="168" fontId="20" fillId="0" borderId="3" xfId="569" applyNumberFormat="1" applyBorder="1" applyAlignment="1">
      <alignment horizontal="right"/>
    </xf>
    <xf numFmtId="168" fontId="20" fillId="0" borderId="4" xfId="569" applyNumberFormat="1" applyBorder="1" applyAlignment="1">
      <alignment horizontal="right"/>
    </xf>
    <xf numFmtId="168" fontId="20" fillId="0" borderId="5" xfId="569" applyNumberFormat="1" applyBorder="1" applyAlignment="1">
      <alignment horizontal="right"/>
    </xf>
    <xf numFmtId="9" fontId="20" fillId="0" borderId="5" xfId="569" applyNumberFormat="1" applyBorder="1" applyAlignment="1">
      <alignment horizontal="center"/>
    </xf>
    <xf numFmtId="9" fontId="20" fillId="0" borderId="11" xfId="569" applyNumberFormat="1" applyBorder="1" applyAlignment="1">
      <alignment horizontal="center"/>
    </xf>
    <xf numFmtId="0" fontId="27" fillId="0" borderId="3" xfId="569" applyFont="1" applyBorder="1" applyAlignment="1">
      <alignment horizontal="left"/>
    </xf>
    <xf numFmtId="0" fontId="27" fillId="0" borderId="5" xfId="569" applyFont="1" applyBorder="1" applyAlignment="1">
      <alignment horizontal="left"/>
    </xf>
    <xf numFmtId="0" fontId="28" fillId="0" borderId="4" xfId="569" applyFont="1" applyBorder="1" applyAlignment="1">
      <alignment horizontal="left"/>
    </xf>
    <xf numFmtId="0" fontId="28" fillId="0" borderId="5" xfId="569" applyFont="1" applyBorder="1" applyAlignment="1">
      <alignment horizontal="left"/>
    </xf>
    <xf numFmtId="0" fontId="26" fillId="3" borderId="2" xfId="569" applyFont="1" applyFill="1" applyBorder="1" applyAlignment="1">
      <alignment horizontal="center" vertical="center"/>
    </xf>
    <xf numFmtId="0" fontId="26" fillId="3" borderId="16" xfId="569" applyFont="1" applyFill="1" applyBorder="1" applyAlignment="1">
      <alignment horizontal="center" vertical="center"/>
    </xf>
    <xf numFmtId="0" fontId="27" fillId="0" borderId="11" xfId="569" applyFont="1" applyBorder="1" applyAlignment="1">
      <alignment horizontal="center" wrapText="1"/>
    </xf>
    <xf numFmtId="168" fontId="20" fillId="0" borderId="7" xfId="569" applyNumberFormat="1" applyBorder="1" applyAlignment="1">
      <alignment horizontal="center"/>
    </xf>
    <xf numFmtId="168" fontId="20" fillId="0" borderId="15" xfId="569" applyNumberFormat="1" applyBorder="1" applyAlignment="1">
      <alignment horizontal="center"/>
    </xf>
    <xf numFmtId="168" fontId="20" fillId="5" borderId="10" xfId="569" applyNumberFormat="1" applyFill="1" applyBorder="1" applyAlignment="1" applyProtection="1">
      <alignment horizontal="center"/>
      <protection locked="0"/>
    </xf>
    <xf numFmtId="168" fontId="20" fillId="5" borderId="13" xfId="569" applyNumberFormat="1" applyFill="1" applyBorder="1" applyAlignment="1" applyProtection="1">
      <alignment horizontal="center"/>
      <protection locked="0"/>
    </xf>
    <xf numFmtId="5" fontId="20" fillId="0" borderId="5" xfId="569" applyNumberFormat="1" applyBorder="1" applyAlignment="1">
      <alignment horizontal="center"/>
    </xf>
    <xf numFmtId="5" fontId="20" fillId="0" borderId="11" xfId="569" applyNumberFormat="1" applyBorder="1" applyAlignment="1">
      <alignment horizontal="center"/>
    </xf>
    <xf numFmtId="5" fontId="20" fillId="0" borderId="3" xfId="569" applyNumberFormat="1" applyBorder="1" applyAlignment="1">
      <alignment horizontal="center"/>
    </xf>
    <xf numFmtId="5" fontId="20" fillId="0" borderId="4" xfId="569" applyNumberFormat="1" applyBorder="1" applyAlignment="1">
      <alignment horizontal="center"/>
    </xf>
    <xf numFmtId="9" fontId="20" fillId="0" borderId="9" xfId="569" applyNumberFormat="1" applyBorder="1" applyAlignment="1">
      <alignment horizontal="center" vertical="center"/>
    </xf>
    <xf numFmtId="9" fontId="20" fillId="0" borderId="6" xfId="569" applyNumberFormat="1" applyBorder="1" applyAlignment="1">
      <alignment horizontal="center" vertical="center"/>
    </xf>
    <xf numFmtId="9" fontId="20" fillId="0" borderId="10" xfId="569" applyNumberFormat="1" applyBorder="1" applyAlignment="1">
      <alignment horizontal="center" vertical="center"/>
    </xf>
    <xf numFmtId="168" fontId="20" fillId="0" borderId="11" xfId="569" applyNumberFormat="1" applyBorder="1" applyAlignment="1">
      <alignment horizontal="right"/>
    </xf>
    <xf numFmtId="0" fontId="27" fillId="0" borderId="6" xfId="569" applyFont="1" applyBorder="1" applyAlignment="1">
      <alignment horizontal="center"/>
    </xf>
    <xf numFmtId="0" fontId="20" fillId="0" borderId="4" xfId="569" applyBorder="1" applyAlignment="1">
      <alignment horizontal="center"/>
    </xf>
    <xf numFmtId="0" fontId="20" fillId="0" borderId="5" xfId="569" applyBorder="1" applyAlignment="1">
      <alignment horizontal="center"/>
    </xf>
    <xf numFmtId="176" fontId="20" fillId="5" borderId="3" xfId="569" applyNumberFormat="1" applyFill="1" applyBorder="1" applyAlignment="1" applyProtection="1">
      <alignment horizontal="right"/>
      <protection locked="0"/>
    </xf>
    <xf numFmtId="176" fontId="20" fillId="5" borderId="4" xfId="569" applyNumberFormat="1" applyFill="1" applyBorder="1" applyAlignment="1" applyProtection="1">
      <alignment horizontal="right"/>
      <protection locked="0"/>
    </xf>
    <xf numFmtId="176" fontId="20" fillId="5" borderId="5" xfId="569" applyNumberFormat="1" applyFill="1" applyBorder="1" applyAlignment="1" applyProtection="1">
      <alignment horizontal="right"/>
      <protection locked="0"/>
    </xf>
    <xf numFmtId="0" fontId="110" fillId="0" borderId="0" xfId="569" applyFont="1" applyAlignment="1">
      <alignment horizontal="left" wrapText="1"/>
    </xf>
    <xf numFmtId="0" fontId="27" fillId="0" borderId="11" xfId="569" applyFont="1" applyBorder="1" applyAlignment="1">
      <alignment horizontal="center"/>
    </xf>
    <xf numFmtId="165" fontId="20" fillId="0" borderId="11" xfId="569" applyNumberFormat="1" applyBorder="1" applyAlignment="1" applyProtection="1">
      <alignment horizontal="center"/>
      <protection locked="0"/>
    </xf>
    <xf numFmtId="168" fontId="20" fillId="0" borderId="11" xfId="569" applyNumberFormat="1" applyBorder="1"/>
    <xf numFmtId="168" fontId="20" fillId="0" borderId="3" xfId="569" applyNumberFormat="1" applyBorder="1"/>
    <xf numFmtId="168" fontId="20" fillId="0" borderId="4" xfId="569" applyNumberFormat="1" applyBorder="1"/>
    <xf numFmtId="168" fontId="20" fillId="0" borderId="5" xfId="569" applyNumberFormat="1" applyBorder="1"/>
    <xf numFmtId="168" fontId="20" fillId="0" borderId="11" xfId="569" applyNumberFormat="1" applyBorder="1" applyAlignment="1">
      <alignment wrapText="1"/>
    </xf>
    <xf numFmtId="9" fontId="20" fillId="0" borderId="15" xfId="569" applyNumberFormat="1" applyBorder="1" applyAlignment="1">
      <alignment horizontal="center"/>
    </xf>
    <xf numFmtId="0" fontId="20" fillId="0" borderId="11" xfId="569" applyBorder="1" applyAlignment="1">
      <alignment horizontal="center"/>
    </xf>
    <xf numFmtId="0" fontId="110" fillId="0" borderId="0" xfId="0" applyFont="1" applyAlignment="1">
      <alignment horizontal="left" vertical="top" wrapText="1"/>
    </xf>
    <xf numFmtId="0" fontId="20" fillId="0" borderId="0" xfId="4495" applyFont="1" applyAlignment="1">
      <alignment horizontal="left" vertical="top" wrapText="1"/>
    </xf>
    <xf numFmtId="0" fontId="27" fillId="0" borderId="0" xfId="4495" applyFont="1" applyAlignment="1">
      <alignment horizontal="center" vertical="top"/>
    </xf>
    <xf numFmtId="0" fontId="20" fillId="5" borderId="6" xfId="4495" applyFont="1" applyFill="1" applyBorder="1" applyAlignment="1" applyProtection="1">
      <alignment horizontal="center" vertical="center" wrapText="1" shrinkToFit="1"/>
      <protection locked="0"/>
    </xf>
    <xf numFmtId="0" fontId="20" fillId="0" borderId="3" xfId="4495" applyFont="1" applyBorder="1" applyAlignment="1">
      <alignment horizontal="center"/>
    </xf>
    <xf numFmtId="0" fontId="20" fillId="0" borderId="5" xfId="4495" applyFont="1" applyBorder="1" applyAlignment="1">
      <alignment horizontal="center"/>
    </xf>
    <xf numFmtId="0" fontId="27" fillId="0" borderId="0" xfId="4495" applyFont="1" applyAlignment="1">
      <alignment horizontal="left" wrapText="1"/>
    </xf>
    <xf numFmtId="0" fontId="20" fillId="0" borderId="0" xfId="4495" applyFont="1" applyAlignment="1">
      <alignment wrapText="1"/>
    </xf>
    <xf numFmtId="0" fontId="20" fillId="0" borderId="0" xfId="4495" applyFont="1" applyAlignment="1">
      <alignment horizontal="left"/>
    </xf>
    <xf numFmtId="0" fontId="20" fillId="5" borderId="6" xfId="4495" applyFont="1" applyFill="1" applyBorder="1" applyAlignment="1" applyProtection="1">
      <alignment horizontal="center"/>
      <protection locked="0"/>
    </xf>
    <xf numFmtId="164" fontId="20" fillId="0" borderId="50" xfId="4495" applyNumberFormat="1" applyFont="1" applyBorder="1" applyAlignment="1">
      <alignment horizontal="left" vertical="top" wrapText="1"/>
    </xf>
    <xf numFmtId="164" fontId="20" fillId="0" borderId="51" xfId="4495" applyNumberFormat="1" applyFont="1" applyBorder="1" applyAlignment="1">
      <alignment horizontal="left" vertical="top" wrapText="1"/>
    </xf>
    <xf numFmtId="164" fontId="20" fillId="0" borderId="52" xfId="4495" applyNumberFormat="1" applyFont="1" applyBorder="1" applyAlignment="1">
      <alignment horizontal="left" vertical="top" wrapText="1"/>
    </xf>
    <xf numFmtId="164" fontId="20" fillId="0" borderId="53" xfId="4495" applyNumberFormat="1" applyFont="1" applyBorder="1" applyAlignment="1">
      <alignment horizontal="left" vertical="top" wrapText="1"/>
    </xf>
    <xf numFmtId="164" fontId="20" fillId="0" borderId="0" xfId="4495" applyNumberFormat="1" applyFont="1" applyAlignment="1">
      <alignment horizontal="left" vertical="top" wrapText="1"/>
    </xf>
    <xf numFmtId="164" fontId="20" fillId="0" borderId="54" xfId="4495" applyNumberFormat="1" applyFont="1" applyBorder="1" applyAlignment="1">
      <alignment horizontal="left" vertical="top" wrapText="1"/>
    </xf>
    <xf numFmtId="164" fontId="20" fillId="0" borderId="57" xfId="4495" applyNumberFormat="1" applyFont="1" applyBorder="1" applyAlignment="1">
      <alignment horizontal="left" vertical="top" wrapText="1"/>
    </xf>
    <xf numFmtId="164" fontId="20" fillId="0" borderId="58" xfId="4495" applyNumberFormat="1" applyFont="1" applyBorder="1" applyAlignment="1">
      <alignment horizontal="left" vertical="top" wrapText="1"/>
    </xf>
    <xf numFmtId="164" fontId="20" fillId="0" borderId="59" xfId="4495" applyNumberFormat="1" applyFont="1" applyBorder="1" applyAlignment="1">
      <alignment horizontal="left" vertical="top" wrapText="1"/>
    </xf>
    <xf numFmtId="168" fontId="20" fillId="0" borderId="0" xfId="1192" applyNumberFormat="1" applyAlignment="1">
      <alignment horizontal="right"/>
    </xf>
    <xf numFmtId="168" fontId="20" fillId="0" borderId="6" xfId="1192" applyNumberFormat="1" applyBorder="1" applyAlignment="1">
      <alignment horizontal="right"/>
    </xf>
    <xf numFmtId="168" fontId="20" fillId="43" borderId="6" xfId="543" applyNumberFormat="1" applyFill="1" applyBorder="1" applyAlignment="1" applyProtection="1">
      <alignment horizontal="center"/>
      <protection locked="0"/>
    </xf>
    <xf numFmtId="168" fontId="20" fillId="0" borderId="4" xfId="1192" applyNumberFormat="1" applyBorder="1" applyAlignment="1">
      <alignment horizontal="right"/>
    </xf>
    <xf numFmtId="0" fontId="123" fillId="5" borderId="6" xfId="4495" applyFill="1" applyBorder="1" applyAlignment="1" applyProtection="1">
      <alignment horizontal="center"/>
      <protection locked="0"/>
    </xf>
    <xf numFmtId="0" fontId="121" fillId="0" borderId="4" xfId="1192" applyFont="1" applyBorder="1" applyAlignment="1">
      <alignment horizontal="left"/>
    </xf>
    <xf numFmtId="0" fontId="144" fillId="0" borderId="6" xfId="1192" applyFont="1" applyBorder="1" applyAlignment="1">
      <alignment horizontal="center"/>
    </xf>
    <xf numFmtId="0" fontId="123" fillId="5" borderId="50" xfId="4495" applyFill="1" applyBorder="1" applyAlignment="1">
      <alignment horizontal="center"/>
    </xf>
    <xf numFmtId="0" fontId="123" fillId="5" borderId="51" xfId="4495" applyFill="1" applyBorder="1" applyAlignment="1">
      <alignment horizontal="center"/>
    </xf>
    <xf numFmtId="0" fontId="123" fillId="0" borderId="0" xfId="4495" applyAlignment="1">
      <alignment horizontal="center"/>
    </xf>
    <xf numFmtId="0" fontId="123" fillId="5" borderId="62" xfId="4495" applyFill="1" applyBorder="1" applyAlignment="1">
      <alignment horizontal="center"/>
    </xf>
    <xf numFmtId="0" fontId="123" fillId="5" borderId="63" xfId="4495" applyFill="1" applyBorder="1" applyAlignment="1">
      <alignment horizontal="center"/>
    </xf>
    <xf numFmtId="4" fontId="28" fillId="0" borderId="3" xfId="4495" applyNumberFormat="1" applyFont="1" applyBorder="1" applyAlignment="1">
      <alignment horizontal="center"/>
    </xf>
    <xf numFmtId="4" fontId="28" fillId="0" borderId="4" xfId="4495" applyNumberFormat="1" applyFont="1" applyBorder="1" applyAlignment="1">
      <alignment horizontal="center"/>
    </xf>
    <xf numFmtId="4" fontId="28" fillId="0" borderId="5" xfId="4495" applyNumberFormat="1" applyFont="1" applyBorder="1" applyAlignment="1">
      <alignment horizontal="center"/>
    </xf>
    <xf numFmtId="165" fontId="125" fillId="0" borderId="3" xfId="4496" applyNumberFormat="1" applyFont="1" applyBorder="1" applyAlignment="1">
      <alignment horizontal="center" vertical="top" wrapText="1"/>
    </xf>
    <xf numFmtId="165" fontId="125" fillId="0" borderId="4" xfId="4496" applyNumberFormat="1" applyFont="1" applyBorder="1" applyAlignment="1">
      <alignment horizontal="center" vertical="top" wrapText="1"/>
    </xf>
    <xf numFmtId="165" fontId="125" fillId="0" borderId="5" xfId="4496" applyNumberFormat="1" applyFont="1" applyBorder="1" applyAlignment="1">
      <alignment horizontal="center" vertical="top" wrapText="1"/>
    </xf>
    <xf numFmtId="3" fontId="20" fillId="43" borderId="6" xfId="1192" applyNumberFormat="1" applyFill="1" applyBorder="1" applyAlignment="1" applyProtection="1">
      <alignment horizontal="right"/>
      <protection locked="0"/>
    </xf>
    <xf numFmtId="0" fontId="144" fillId="0" borderId="0" xfId="1192" applyFont="1" applyAlignment="1">
      <alignment horizontal="center"/>
    </xf>
    <xf numFmtId="168" fontId="20" fillId="5" borderId="4" xfId="1192" applyNumberFormat="1" applyFill="1" applyBorder="1" applyAlignment="1" applyProtection="1">
      <alignment horizontal="center"/>
      <protection locked="0"/>
    </xf>
    <xf numFmtId="4" fontId="28" fillId="0" borderId="6" xfId="4495" applyNumberFormat="1" applyFont="1" applyBorder="1" applyAlignment="1">
      <alignment horizontal="center"/>
    </xf>
    <xf numFmtId="1" fontId="20" fillId="5" borderId="2" xfId="1192" applyNumberFormat="1" applyFill="1" applyBorder="1" applyAlignment="1" applyProtection="1">
      <alignment horizontal="center"/>
      <protection locked="0"/>
    </xf>
    <xf numFmtId="4" fontId="28" fillId="0" borderId="0" xfId="4495" applyNumberFormat="1" applyFont="1" applyAlignment="1">
      <alignment horizontal="center"/>
    </xf>
    <xf numFmtId="0" fontId="20" fillId="0" borderId="53" xfId="4495" applyFont="1" applyBorder="1" applyAlignment="1">
      <alignment horizontal="left" vertical="top" wrapText="1"/>
    </xf>
    <xf numFmtId="0" fontId="20" fillId="0" borderId="54" xfId="4495" applyFont="1" applyBorder="1" applyAlignment="1">
      <alignment horizontal="left" vertical="top" wrapText="1"/>
    </xf>
    <xf numFmtId="0" fontId="20" fillId="0" borderId="57" xfId="4495" applyFont="1" applyBorder="1" applyAlignment="1">
      <alignment horizontal="left" vertical="top" wrapText="1"/>
    </xf>
    <xf numFmtId="0" fontId="20" fillId="0" borderId="58" xfId="4495" applyFont="1" applyBorder="1" applyAlignment="1">
      <alignment horizontal="left" vertical="top" wrapText="1"/>
    </xf>
    <xf numFmtId="168" fontId="20" fillId="0" borderId="6" xfId="4496" applyNumberFormat="1" applyFont="1" applyBorder="1" applyAlignment="1">
      <alignment horizontal="center"/>
    </xf>
    <xf numFmtId="168" fontId="20" fillId="0" borderId="4" xfId="4496" applyNumberFormat="1" applyFont="1" applyBorder="1" applyAlignment="1">
      <alignment horizontal="center"/>
    </xf>
    <xf numFmtId="9" fontId="20" fillId="0" borderId="4" xfId="4496" applyNumberFormat="1" applyFont="1" applyBorder="1" applyAlignment="1">
      <alignment horizontal="center"/>
    </xf>
    <xf numFmtId="0" fontId="20" fillId="0" borderId="4" xfId="4495" applyFont="1" applyBorder="1" applyAlignment="1">
      <alignment horizontal="center"/>
    </xf>
    <xf numFmtId="0" fontId="28" fillId="0" borderId="51" xfId="4495" applyFont="1" applyBorder="1" applyAlignment="1">
      <alignment horizontal="left" vertical="top" wrapText="1"/>
    </xf>
    <xf numFmtId="0" fontId="28" fillId="0" borderId="0" xfId="4495" applyFont="1" applyAlignment="1">
      <alignment horizontal="left" vertical="top" wrapText="1"/>
    </xf>
    <xf numFmtId="0" fontId="28" fillId="0" borderId="58" xfId="4495" applyFont="1" applyBorder="1" applyAlignment="1">
      <alignment horizontal="left" vertical="top" wrapText="1"/>
    </xf>
    <xf numFmtId="168" fontId="20" fillId="43" borderId="6" xfId="1192" applyNumberFormat="1" applyFill="1" applyBorder="1" applyAlignment="1" applyProtection="1">
      <alignment horizontal="right"/>
      <protection locked="0"/>
    </xf>
    <xf numFmtId="0" fontId="28" fillId="5" borderId="58" xfId="4495" applyFont="1" applyFill="1" applyBorder="1" applyAlignment="1">
      <alignment horizontal="left"/>
    </xf>
    <xf numFmtId="0" fontId="56" fillId="0" borderId="51" xfId="4495" applyFont="1" applyBorder="1" applyAlignment="1">
      <alignment horizontal="left" vertical="top" wrapText="1"/>
    </xf>
    <xf numFmtId="0" fontId="56" fillId="0" borderId="0" xfId="4495" applyFont="1" applyAlignment="1">
      <alignment horizontal="left" vertical="top" wrapText="1"/>
    </xf>
    <xf numFmtId="9" fontId="28" fillId="5" borderId="58" xfId="4495" applyNumberFormat="1" applyFont="1" applyFill="1" applyBorder="1" applyAlignment="1">
      <alignment horizontal="left"/>
    </xf>
    <xf numFmtId="9" fontId="28" fillId="5" borderId="6" xfId="4495" applyNumberFormat="1" applyFont="1" applyFill="1" applyBorder="1" applyAlignment="1">
      <alignment horizontal="left"/>
    </xf>
    <xf numFmtId="0" fontId="28" fillId="5" borderId="6" xfId="4495" applyFont="1" applyFill="1" applyBorder="1" applyAlignment="1">
      <alignment horizontal="left"/>
    </xf>
    <xf numFmtId="0" fontId="27" fillId="0" borderId="0" xfId="4495" applyFont="1" applyAlignment="1">
      <alignment horizontal="right"/>
    </xf>
    <xf numFmtId="0" fontId="56" fillId="0" borderId="51" xfId="4495" applyFont="1" applyBorder="1" applyAlignment="1">
      <alignment horizontal="left" wrapText="1"/>
    </xf>
    <xf numFmtId="0" fontId="56" fillId="0" borderId="0" xfId="4495" applyFont="1" applyAlignment="1">
      <alignment horizontal="left" wrapText="1"/>
    </xf>
    <xf numFmtId="0" fontId="20" fillId="0" borderId="50" xfId="4495" applyFont="1" applyBorder="1" applyAlignment="1">
      <alignment horizontal="left" vertical="center" wrapText="1"/>
    </xf>
    <xf numFmtId="0" fontId="20" fillId="0" borderId="51" xfId="4495" applyFont="1" applyBorder="1" applyAlignment="1">
      <alignment horizontal="left" vertical="center" wrapText="1"/>
    </xf>
    <xf numFmtId="0" fontId="20" fillId="0" borderId="52" xfId="4495" applyFont="1" applyBorder="1" applyAlignment="1">
      <alignment horizontal="left" vertical="center" wrapText="1"/>
    </xf>
    <xf numFmtId="0" fontId="20" fillId="0" borderId="53" xfId="4495" applyFont="1" applyBorder="1" applyAlignment="1">
      <alignment horizontal="left" vertical="center" wrapText="1"/>
    </xf>
    <xf numFmtId="0" fontId="20" fillId="0" borderId="0" xfId="4495" applyFont="1" applyAlignment="1">
      <alignment horizontal="left" vertical="center" wrapText="1"/>
    </xf>
    <xf numFmtId="0" fontId="20" fillId="0" borderId="54" xfId="4495" applyFont="1" applyBorder="1" applyAlignment="1">
      <alignment horizontal="left" vertical="center" wrapText="1"/>
    </xf>
    <xf numFmtId="10" fontId="28" fillId="0" borderId="2" xfId="4495" applyNumberFormat="1" applyFont="1" applyBorder="1" applyAlignment="1">
      <alignment horizontal="center"/>
    </xf>
    <xf numFmtId="0" fontId="28" fillId="0" borderId="0" xfId="4495" applyFont="1" applyAlignment="1">
      <alignment horizontal="center"/>
    </xf>
    <xf numFmtId="0" fontId="132" fillId="0" borderId="0" xfId="4495" applyFont="1" applyAlignment="1">
      <alignment horizontal="left" vertical="top" wrapText="1"/>
    </xf>
    <xf numFmtId="0" fontId="36" fillId="42" borderId="2" xfId="4495" applyFont="1" applyFill="1" applyBorder="1" applyAlignment="1">
      <alignment horizontal="center"/>
    </xf>
    <xf numFmtId="0" fontId="36" fillId="42" borderId="6" xfId="4495" applyFont="1" applyFill="1" applyBorder="1" applyAlignment="1">
      <alignment horizontal="center"/>
    </xf>
    <xf numFmtId="0" fontId="27" fillId="0" borderId="11" xfId="4495" applyFont="1" applyBorder="1" applyAlignment="1">
      <alignment horizontal="center"/>
    </xf>
    <xf numFmtId="0" fontId="123" fillId="5" borderId="55" xfId="4495" applyFill="1" applyBorder="1" applyAlignment="1" applyProtection="1">
      <alignment horizontal="center"/>
      <protection locked="0"/>
    </xf>
    <xf numFmtId="0" fontId="27" fillId="0" borderId="0" xfId="4495" applyFont="1" applyAlignment="1">
      <alignment horizontal="center"/>
    </xf>
    <xf numFmtId="0" fontId="27" fillId="0" borderId="54" xfId="4495" applyFont="1" applyBorder="1" applyAlignment="1">
      <alignment horizontal="center"/>
    </xf>
    <xf numFmtId="0" fontId="27" fillId="0" borderId="51" xfId="4495" applyFont="1" applyBorder="1" applyAlignment="1">
      <alignment horizontal="center" vertical="top"/>
    </xf>
    <xf numFmtId="0" fontId="27" fillId="0" borderId="52" xfId="4495" applyFont="1" applyBorder="1" applyAlignment="1">
      <alignment horizontal="center" vertical="top"/>
    </xf>
    <xf numFmtId="0" fontId="20" fillId="0" borderId="6" xfId="1192" applyBorder="1" applyAlignment="1">
      <alignment horizontal="right"/>
    </xf>
    <xf numFmtId="9" fontId="20" fillId="5" borderId="4" xfId="1192" applyNumberFormat="1" applyFill="1" applyBorder="1" applyAlignment="1" applyProtection="1">
      <alignment horizontal="left"/>
      <protection locked="0"/>
    </xf>
    <xf numFmtId="0" fontId="27" fillId="0" borderId="54" xfId="4495" applyFont="1" applyBorder="1" applyAlignment="1">
      <alignment horizontal="center" vertical="top"/>
    </xf>
    <xf numFmtId="0" fontId="123" fillId="0" borderId="53" xfId="4495" applyBorder="1" applyAlignment="1">
      <alignment horizontal="center"/>
    </xf>
    <xf numFmtId="0" fontId="28" fillId="5" borderId="0" xfId="4495" applyFont="1" applyFill="1" applyAlignment="1">
      <alignment horizontal="left" vertical="top"/>
    </xf>
    <xf numFmtId="0" fontId="123" fillId="5" borderId="53" xfId="4495" applyFill="1" applyBorder="1" applyAlignment="1">
      <alignment horizontal="center"/>
    </xf>
    <xf numFmtId="0" fontId="123" fillId="5" borderId="0" xfId="4495" applyFill="1" applyAlignment="1">
      <alignment horizontal="center"/>
    </xf>
    <xf numFmtId="0" fontId="123" fillId="5" borderId="55" xfId="4495" applyFill="1" applyBorder="1" applyAlignment="1">
      <alignment horizontal="center"/>
    </xf>
    <xf numFmtId="0" fontId="123" fillId="5" borderId="6" xfId="4495" applyFill="1" applyBorder="1" applyAlignment="1">
      <alignment horizontal="center"/>
    </xf>
    <xf numFmtId="0" fontId="28" fillId="5" borderId="0" xfId="4495" applyFont="1" applyFill="1" applyAlignment="1">
      <alignment horizontal="left" vertical="top" wrapText="1"/>
    </xf>
    <xf numFmtId="0" fontId="28" fillId="5" borderId="58" xfId="4495" applyFont="1" applyFill="1" applyBorder="1" applyAlignment="1">
      <alignment horizontal="left" vertical="top" wrapText="1"/>
    </xf>
    <xf numFmtId="0" fontId="27" fillId="0" borderId="4" xfId="4495" applyFont="1" applyBorder="1" applyAlignment="1">
      <alignment horizontal="left"/>
    </xf>
    <xf numFmtId="0" fontId="27" fillId="0" borderId="5" xfId="4495" applyFont="1" applyBorder="1" applyAlignment="1">
      <alignment horizontal="left"/>
    </xf>
    <xf numFmtId="1" fontId="27" fillId="0" borderId="11" xfId="4495" applyNumberFormat="1" applyFont="1" applyBorder="1" applyAlignment="1">
      <alignment horizontal="center"/>
    </xf>
    <xf numFmtId="0" fontId="27" fillId="0" borderId="3" xfId="4495" applyFont="1" applyBorder="1" applyAlignment="1">
      <alignment horizontal="center" wrapText="1"/>
    </xf>
    <xf numFmtId="0" fontId="27" fillId="0" borderId="4" xfId="4495" applyFont="1" applyBorder="1" applyAlignment="1">
      <alignment horizontal="center" wrapText="1"/>
    </xf>
    <xf numFmtId="0" fontId="27" fillId="0" borderId="5" xfId="4495" applyFont="1" applyBorder="1" applyAlignment="1">
      <alignment horizontal="center" wrapText="1"/>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11" xfId="4495" applyFont="1" applyBorder="1" applyAlignment="1">
      <alignment horizontal="center"/>
    </xf>
    <xf numFmtId="1" fontId="20" fillId="46" borderId="11" xfId="4495" applyNumberFormat="1" applyFont="1" applyFill="1" applyBorder="1" applyAlignment="1">
      <alignment horizontal="center"/>
    </xf>
    <xf numFmtId="0" fontId="27" fillId="0" borderId="3" xfId="4495" applyFont="1" applyBorder="1" applyAlignment="1">
      <alignment horizontal="center"/>
    </xf>
    <xf numFmtId="0" fontId="27" fillId="0" borderId="4" xfId="4495" applyFont="1" applyBorder="1" applyAlignment="1">
      <alignment horizontal="center"/>
    </xf>
    <xf numFmtId="0" fontId="27" fillId="0" borderId="5" xfId="4495" applyFont="1" applyBorder="1" applyAlignment="1">
      <alignment horizontal="center"/>
    </xf>
    <xf numFmtId="0" fontId="20" fillId="5" borderId="11" xfId="4495" applyFont="1" applyFill="1" applyBorder="1" applyAlignment="1" applyProtection="1">
      <alignment horizontal="center"/>
      <protection locked="0"/>
    </xf>
    <xf numFmtId="164" fontId="67" fillId="0" borderId="1" xfId="4495" applyNumberFormat="1" applyFont="1" applyBorder="1" applyAlignment="1">
      <alignment horizontal="right" vertical="center"/>
    </xf>
    <xf numFmtId="164" fontId="67" fillId="0" borderId="2" xfId="4495" applyNumberFormat="1" applyFont="1" applyBorder="1" applyAlignment="1">
      <alignment horizontal="right" vertical="center"/>
    </xf>
    <xf numFmtId="164" fontId="67" fillId="0" borderId="7" xfId="4495" applyNumberFormat="1" applyFont="1" applyBorder="1" applyAlignment="1">
      <alignment horizontal="right" vertical="center"/>
    </xf>
    <xf numFmtId="164" fontId="67" fillId="0" borderId="9" xfId="4495" applyNumberFormat="1" applyFont="1" applyBorder="1" applyAlignment="1">
      <alignment horizontal="right" vertical="center"/>
    </xf>
    <xf numFmtId="164" fontId="67" fillId="0" borderId="6" xfId="4495" applyNumberFormat="1" applyFont="1" applyBorder="1" applyAlignment="1">
      <alignment horizontal="right" vertical="center"/>
    </xf>
    <xf numFmtId="164" fontId="67" fillId="0" borderId="10" xfId="4495" applyNumberFormat="1" applyFont="1" applyBorder="1" applyAlignment="1">
      <alignment horizontal="right" vertical="center"/>
    </xf>
    <xf numFmtId="180" fontId="67" fillId="0" borderId="1" xfId="4495" applyNumberFormat="1" applyFont="1" applyBorder="1" applyAlignment="1">
      <alignment horizontal="center" vertical="center"/>
    </xf>
    <xf numFmtId="180" fontId="67" fillId="0" borderId="2" xfId="4495" applyNumberFormat="1" applyFont="1" applyBorder="1" applyAlignment="1">
      <alignment horizontal="center" vertical="center"/>
    </xf>
    <xf numFmtId="180" fontId="67" fillId="0" borderId="7" xfId="4495" applyNumberFormat="1" applyFont="1" applyBorder="1" applyAlignment="1">
      <alignment horizontal="center" vertical="center"/>
    </xf>
    <xf numFmtId="180" fontId="67" fillId="0" borderId="9" xfId="4495" applyNumberFormat="1" applyFont="1" applyBorder="1" applyAlignment="1">
      <alignment horizontal="center" vertical="center"/>
    </xf>
    <xf numFmtId="180" fontId="67" fillId="0" borderId="6" xfId="4495" applyNumberFormat="1" applyFont="1" applyBorder="1" applyAlignment="1">
      <alignment horizontal="center" vertical="center"/>
    </xf>
    <xf numFmtId="180" fontId="67" fillId="0" borderId="10" xfId="4495" applyNumberFormat="1" applyFont="1" applyBorder="1" applyAlignment="1">
      <alignment horizontal="center" vertical="center"/>
    </xf>
    <xf numFmtId="1" fontId="27" fillId="0" borderId="4" xfId="4495" applyNumberFormat="1" applyFont="1" applyBorder="1" applyAlignment="1">
      <alignment horizontal="center" wrapText="1"/>
    </xf>
    <xf numFmtId="0" fontId="20" fillId="0" borderId="50" xfId="4496" applyFont="1" applyBorder="1" applyAlignment="1">
      <alignment horizontal="left" wrapText="1"/>
    </xf>
    <xf numFmtId="0" fontId="20" fillId="0" borderId="51" xfId="4496" applyFont="1" applyBorder="1" applyAlignment="1">
      <alignment horizontal="left" wrapText="1"/>
    </xf>
    <xf numFmtId="0" fontId="20" fillId="0" borderId="52" xfId="4496" applyFont="1" applyBorder="1" applyAlignment="1">
      <alignment horizontal="left" wrapText="1"/>
    </xf>
    <xf numFmtId="0" fontId="20" fillId="0" borderId="53" xfId="4496" applyFont="1" applyBorder="1" applyAlignment="1">
      <alignment horizontal="left" wrapText="1"/>
    </xf>
    <xf numFmtId="0" fontId="20" fillId="0" borderId="0" xfId="4496" applyFont="1" applyAlignment="1">
      <alignment horizontal="left" wrapText="1"/>
    </xf>
    <xf numFmtId="0" fontId="20" fillId="0" borderId="54" xfId="4496" applyFont="1" applyBorder="1" applyAlignment="1">
      <alignment horizontal="left" wrapText="1"/>
    </xf>
    <xf numFmtId="0" fontId="20" fillId="0" borderId="57" xfId="4496" applyFont="1" applyBorder="1" applyAlignment="1">
      <alignment horizontal="left" wrapText="1"/>
    </xf>
    <xf numFmtId="0" fontId="20" fillId="0" borderId="58" xfId="4496" applyFont="1" applyBorder="1" applyAlignment="1">
      <alignment horizontal="left" wrapText="1"/>
    </xf>
    <xf numFmtId="0" fontId="20" fillId="0" borderId="59" xfId="4496" applyFont="1" applyBorder="1" applyAlignment="1">
      <alignment horizontal="left" wrapText="1"/>
    </xf>
    <xf numFmtId="1" fontId="20" fillId="0" borderId="4" xfId="4496" applyNumberFormat="1" applyFont="1" applyBorder="1" applyAlignment="1">
      <alignment horizontal="center"/>
    </xf>
    <xf numFmtId="1" fontId="20" fillId="0" borderId="5" xfId="4496" applyNumberFormat="1" applyFont="1" applyBorder="1" applyAlignment="1">
      <alignment horizontal="center"/>
    </xf>
    <xf numFmtId="49" fontId="26" fillId="3" borderId="2" xfId="4495" applyNumberFormat="1" applyFont="1" applyFill="1" applyBorder="1" applyAlignment="1">
      <alignment horizontal="center" vertical="center" wrapText="1"/>
    </xf>
    <xf numFmtId="49" fontId="26" fillId="3" borderId="2" xfId="4495" applyNumberFormat="1" applyFont="1" applyFill="1" applyBorder="1" applyAlignment="1">
      <alignment horizontal="center" vertical="center"/>
    </xf>
    <xf numFmtId="49" fontId="26" fillId="3" borderId="0" xfId="4495" applyNumberFormat="1" applyFont="1" applyFill="1" applyAlignment="1">
      <alignment horizontal="center" vertical="center"/>
    </xf>
    <xf numFmtId="0" fontId="27" fillId="0" borderId="1" xfId="4495" applyFont="1" applyBorder="1" applyAlignment="1">
      <alignment horizontal="center" wrapText="1"/>
    </xf>
    <xf numFmtId="0" fontId="27" fillId="0" borderId="2" xfId="4495" applyFont="1" applyBorder="1" applyAlignment="1">
      <alignment horizontal="center" wrapText="1"/>
    </xf>
    <xf numFmtId="0" fontId="27" fillId="0" borderId="7" xfId="4495" applyFont="1" applyBorder="1" applyAlignment="1">
      <alignment horizontal="center" wrapText="1"/>
    </xf>
    <xf numFmtId="0" fontId="27" fillId="0" borderId="9" xfId="4495" applyFont="1" applyBorder="1" applyAlignment="1">
      <alignment horizontal="center" wrapText="1"/>
    </xf>
    <xf numFmtId="0" fontId="27" fillId="0" borderId="6" xfId="4495" applyFont="1" applyBorder="1" applyAlignment="1">
      <alignment horizontal="center" wrapText="1"/>
    </xf>
    <xf numFmtId="0" fontId="27" fillId="0" borderId="10" xfId="4495" applyFont="1" applyBorder="1" applyAlignment="1">
      <alignment horizontal="center" wrapText="1"/>
    </xf>
    <xf numFmtId="0" fontId="20" fillId="45" borderId="11" xfId="4495" applyFont="1" applyFill="1" applyBorder="1" applyAlignment="1">
      <alignment horizontal="center"/>
    </xf>
    <xf numFmtId="0" fontId="132" fillId="0" borderId="0" xfId="4495" applyFont="1" applyAlignment="1">
      <alignment horizontal="left" vertical="center" wrapText="1"/>
    </xf>
    <xf numFmtId="0" fontId="27" fillId="0" borderId="0" xfId="4495" applyFont="1" applyAlignment="1">
      <alignment horizontal="left" vertical="top" wrapText="1"/>
    </xf>
    <xf numFmtId="0" fontId="20" fillId="0" borderId="0" xfId="4495" applyFont="1" applyAlignment="1">
      <alignment horizontal="left" vertical="top" wrapText="1" shrinkToFit="1"/>
    </xf>
    <xf numFmtId="44" fontId="20" fillId="0" borderId="0" xfId="707" applyFont="1" applyFill="1" applyBorder="1" applyAlignment="1" applyProtection="1">
      <alignment horizontal="left" vertical="top" wrapText="1"/>
    </xf>
    <xf numFmtId="0" fontId="20" fillId="0" borderId="0" xfId="4495" applyFont="1" applyAlignment="1">
      <alignment horizontal="left" vertical="center" wrapText="1" shrinkToFit="1"/>
    </xf>
    <xf numFmtId="0" fontId="20" fillId="5" borderId="6" xfId="4495" applyFont="1" applyFill="1" applyBorder="1" applyAlignment="1" applyProtection="1">
      <alignment horizontal="left" wrapText="1" shrinkToFit="1"/>
      <protection locked="0"/>
    </xf>
    <xf numFmtId="0" fontId="20" fillId="43" borderId="6" xfId="1192" applyFill="1" applyBorder="1" applyAlignment="1" applyProtection="1">
      <alignment horizontal="left" vertical="top"/>
      <protection locked="0"/>
    </xf>
    <xf numFmtId="0" fontId="159" fillId="0" borderId="0" xfId="0" applyFont="1" applyAlignment="1" applyProtection="1">
      <alignment horizontal="left"/>
      <protection locked="0"/>
    </xf>
    <xf numFmtId="168" fontId="158" fillId="0" borderId="0" xfId="0" applyNumberFormat="1" applyFont="1" applyAlignment="1">
      <alignment horizontal="center" vertical="top" wrapText="1"/>
    </xf>
    <xf numFmtId="168" fontId="158" fillId="0" borderId="12" xfId="0" applyNumberFormat="1" applyFont="1" applyBorder="1" applyAlignment="1">
      <alignment horizontal="center" vertical="top" wrapText="1"/>
    </xf>
    <xf numFmtId="0" fontId="20" fillId="43" borderId="53" xfId="4495" applyFont="1" applyFill="1" applyBorder="1" applyAlignment="1" applyProtection="1">
      <alignment vertical="top" wrapText="1"/>
      <protection locked="0"/>
    </xf>
    <xf numFmtId="0" fontId="20" fillId="43" borderId="0" xfId="4495" applyFont="1" applyFill="1" applyAlignment="1" applyProtection="1">
      <alignment vertical="top" wrapText="1"/>
      <protection locked="0"/>
    </xf>
    <xf numFmtId="0" fontId="20" fillId="43" borderId="54" xfId="4495" applyFont="1" applyFill="1" applyBorder="1" applyAlignment="1" applyProtection="1">
      <alignment vertical="top" wrapText="1"/>
      <protection locked="0"/>
    </xf>
    <xf numFmtId="0" fontId="20" fillId="43" borderId="55" xfId="4495" applyFont="1" applyFill="1" applyBorder="1" applyAlignment="1" applyProtection="1">
      <alignment vertical="top" wrapText="1"/>
      <protection locked="0"/>
    </xf>
    <xf numFmtId="0" fontId="20" fillId="43" borderId="6" xfId="4495" applyFont="1" applyFill="1" applyBorder="1" applyAlignment="1" applyProtection="1">
      <alignment vertical="top" wrapText="1"/>
      <protection locked="0"/>
    </xf>
    <xf numFmtId="0" fontId="20" fillId="43" borderId="56" xfId="4495" applyFont="1" applyFill="1" applyBorder="1" applyAlignment="1" applyProtection="1">
      <alignment vertical="top" wrapText="1"/>
      <protection locked="0"/>
    </xf>
    <xf numFmtId="0" fontId="20" fillId="43" borderId="0" xfId="4495" applyFont="1" applyFill="1" applyAlignment="1" applyProtection="1">
      <alignment horizontal="left" vertical="center" wrapText="1"/>
      <protection locked="0"/>
    </xf>
    <xf numFmtId="0" fontId="20" fillId="43" borderId="54" xfId="4495" applyFont="1" applyFill="1" applyBorder="1" applyAlignment="1" applyProtection="1">
      <alignment horizontal="left" vertical="center" wrapText="1"/>
      <protection locked="0"/>
    </xf>
    <xf numFmtId="0" fontId="20" fillId="43" borderId="6" xfId="4495" applyFont="1" applyFill="1" applyBorder="1" applyAlignment="1" applyProtection="1">
      <alignment horizontal="left" vertical="center" wrapText="1"/>
      <protection locked="0"/>
    </xf>
    <xf numFmtId="0" fontId="20" fillId="43" borderId="56" xfId="4495" applyFont="1" applyFill="1" applyBorder="1" applyAlignment="1" applyProtection="1">
      <alignment horizontal="left" vertical="center" wrapText="1"/>
      <protection locked="0"/>
    </xf>
    <xf numFmtId="0" fontId="123" fillId="5" borderId="62" xfId="4495" applyFill="1" applyBorder="1" applyAlignment="1" applyProtection="1">
      <alignment horizontal="center"/>
      <protection locked="0"/>
    </xf>
    <xf numFmtId="0" fontId="123" fillId="5" borderId="63" xfId="4495" applyFill="1" applyBorder="1" applyAlignment="1" applyProtection="1">
      <alignment horizontal="center"/>
      <protection locked="0"/>
    </xf>
    <xf numFmtId="0" fontId="125" fillId="0" borderId="50" xfId="4496" applyFont="1" applyBorder="1" applyAlignment="1">
      <alignment horizontal="left" wrapText="1"/>
    </xf>
    <xf numFmtId="0" fontId="125" fillId="0" borderId="51" xfId="4496" applyFont="1" applyBorder="1" applyAlignment="1">
      <alignment horizontal="left" wrapText="1"/>
    </xf>
    <xf numFmtId="0" fontId="125" fillId="0" borderId="52" xfId="4496" applyFont="1" applyBorder="1" applyAlignment="1">
      <alignment horizontal="left" wrapText="1"/>
    </xf>
    <xf numFmtId="0" fontId="125" fillId="0" borderId="57" xfId="4496" applyFont="1" applyBorder="1" applyAlignment="1">
      <alignment horizontal="left" wrapText="1"/>
    </xf>
    <xf numFmtId="0" fontId="125" fillId="0" borderId="58" xfId="4496" applyFont="1" applyBorder="1" applyAlignment="1">
      <alignment horizontal="left" wrapText="1"/>
    </xf>
    <xf numFmtId="0" fontId="125" fillId="0" borderId="59" xfId="4496" applyFont="1" applyBorder="1" applyAlignment="1">
      <alignment horizontal="left" wrapText="1"/>
    </xf>
    <xf numFmtId="0" fontId="20" fillId="5" borderId="6" xfId="1192" applyFill="1" applyBorder="1" applyAlignment="1" applyProtection="1">
      <alignment horizontal="left"/>
      <protection locked="0"/>
    </xf>
    <xf numFmtId="165" fontId="20" fillId="0" borderId="0" xfId="1192" applyNumberFormat="1" applyAlignment="1">
      <alignment horizontal="right"/>
    </xf>
    <xf numFmtId="0" fontId="20" fillId="0" borderId="59" xfId="4495" applyFont="1" applyBorder="1" applyAlignment="1">
      <alignment horizontal="left" vertical="top" wrapText="1"/>
    </xf>
    <xf numFmtId="0" fontId="20" fillId="0" borderId="4" xfId="4496" applyFont="1" applyBorder="1" applyAlignment="1">
      <alignment horizontal="center"/>
    </xf>
    <xf numFmtId="0" fontId="20" fillId="0" borderId="5" xfId="4496" applyFont="1" applyBorder="1" applyAlignment="1">
      <alignment horizontal="center"/>
    </xf>
    <xf numFmtId="0" fontId="20" fillId="0" borderId="50" xfId="4495" applyFont="1" applyBorder="1" applyAlignment="1">
      <alignment horizontal="left" vertical="top" wrapText="1"/>
    </xf>
    <xf numFmtId="0" fontId="20" fillId="0" borderId="51" xfId="4495" applyFont="1" applyBorder="1" applyAlignment="1">
      <alignment horizontal="left" vertical="top" wrapText="1"/>
    </xf>
    <xf numFmtId="0" fontId="20" fillId="0" borderId="52" xfId="4495" applyFont="1" applyBorder="1" applyAlignment="1">
      <alignment horizontal="left" vertical="top" wrapText="1"/>
    </xf>
    <xf numFmtId="0" fontId="27" fillId="0" borderId="0" xfId="4495" applyFont="1"/>
    <xf numFmtId="0" fontId="20" fillId="0" borderId="6" xfId="1192" applyBorder="1" applyAlignment="1">
      <alignment horizontal="left"/>
    </xf>
    <xf numFmtId="2" fontId="20" fillId="0" borderId="0" xfId="1192" applyNumberFormat="1" applyAlignment="1">
      <alignment horizontal="right"/>
    </xf>
    <xf numFmtId="0" fontId="27" fillId="0" borderId="0" xfId="4495" applyFont="1" applyAlignment="1">
      <alignment horizontal="left" vertical="top"/>
    </xf>
    <xf numFmtId="0" fontId="123" fillId="0" borderId="0" xfId="4495" applyAlignment="1" applyProtection="1">
      <alignment horizontal="center"/>
      <protection locked="0"/>
    </xf>
    <xf numFmtId="9" fontId="20" fillId="0" borderId="4" xfId="543" applyNumberFormat="1" applyBorder="1" applyAlignment="1">
      <alignment horizontal="center"/>
    </xf>
    <xf numFmtId="168" fontId="20" fillId="0" borderId="6" xfId="4495" applyNumberFormat="1" applyFont="1" applyBorder="1" applyAlignment="1">
      <alignment horizontal="right"/>
    </xf>
    <xf numFmtId="168" fontId="121" fillId="0" borderId="6" xfId="4495" applyNumberFormat="1" applyFont="1" applyBorder="1" applyAlignment="1">
      <alignment horizontal="right"/>
    </xf>
    <xf numFmtId="168" fontId="20" fillId="43" borderId="6" xfId="4495" applyNumberFormat="1" applyFont="1" applyFill="1" applyBorder="1" applyAlignment="1" applyProtection="1">
      <alignment horizontal="right"/>
      <protection locked="0"/>
    </xf>
    <xf numFmtId="6" fontId="20" fillId="0" borderId="3" xfId="1192" applyNumberFormat="1" applyBorder="1" applyAlignment="1">
      <alignment horizontal="right"/>
    </xf>
    <xf numFmtId="6" fontId="20" fillId="0" borderId="4" xfId="1192" applyNumberFormat="1" applyBorder="1" applyAlignment="1">
      <alignment horizontal="right"/>
    </xf>
    <xf numFmtId="6" fontId="20" fillId="0" borderId="5" xfId="1192" applyNumberFormat="1" applyBorder="1" applyAlignment="1">
      <alignment horizontal="right"/>
    </xf>
    <xf numFmtId="168" fontId="20" fillId="0" borderId="4" xfId="4495" applyNumberFormat="1" applyFont="1" applyBorder="1" applyAlignment="1">
      <alignment horizontal="right"/>
    </xf>
    <xf numFmtId="165" fontId="20" fillId="43" borderId="3" xfId="4495" applyNumberFormat="1" applyFont="1" applyFill="1" applyBorder="1" applyAlignment="1" applyProtection="1">
      <alignment horizontal="center"/>
      <protection locked="0"/>
    </xf>
    <xf numFmtId="165" fontId="20" fillId="43" borderId="4" xfId="4495" applyNumberFormat="1" applyFont="1" applyFill="1" applyBorder="1" applyAlignment="1" applyProtection="1">
      <alignment horizontal="center"/>
      <protection locked="0"/>
    </xf>
    <xf numFmtId="165" fontId="20" fillId="43" borderId="5" xfId="4495" applyNumberFormat="1" applyFont="1" applyFill="1" applyBorder="1" applyAlignment="1" applyProtection="1">
      <alignment horizontal="center"/>
      <protection locked="0"/>
    </xf>
    <xf numFmtId="165" fontId="20" fillId="0" borderId="6" xfId="1192" applyNumberFormat="1" applyBorder="1" applyAlignment="1">
      <alignment horizontal="right"/>
    </xf>
    <xf numFmtId="168" fontId="20" fillId="0" borderId="2" xfId="1192" applyNumberFormat="1" applyBorder="1" applyAlignment="1">
      <alignment horizontal="right"/>
    </xf>
    <xf numFmtId="1" fontId="20" fillId="0" borderId="3" xfId="4495" applyNumberFormat="1" applyFont="1" applyBorder="1" applyAlignment="1">
      <alignment horizontal="center"/>
    </xf>
    <xf numFmtId="1" fontId="20" fillId="0" borderId="4" xfId="4495" applyNumberFormat="1" applyFont="1" applyBorder="1" applyAlignment="1">
      <alignment horizontal="center"/>
    </xf>
    <xf numFmtId="1" fontId="20" fillId="0" borderId="5" xfId="4495" applyNumberFormat="1" applyFont="1" applyBorder="1" applyAlignment="1">
      <alignment horizontal="center"/>
    </xf>
    <xf numFmtId="0" fontId="28" fillId="5" borderId="6" xfId="4495" applyFont="1" applyFill="1" applyBorder="1" applyAlignment="1" applyProtection="1">
      <alignment horizontal="left"/>
      <protection locked="0"/>
    </xf>
    <xf numFmtId="0" fontId="20" fillId="5" borderId="6" xfId="4495" applyFont="1" applyFill="1" applyBorder="1" applyAlignment="1" applyProtection="1">
      <alignment horizontal="left"/>
      <protection locked="0"/>
    </xf>
    <xf numFmtId="0" fontId="56" fillId="5" borderId="6" xfId="4495" applyFont="1" applyFill="1" applyBorder="1" applyAlignment="1" applyProtection="1">
      <alignment horizontal="left"/>
      <protection locked="0"/>
    </xf>
    <xf numFmtId="0" fontId="20" fillId="44" borderId="6" xfId="4495" applyFont="1" applyFill="1" applyBorder="1" applyAlignment="1">
      <alignment horizontal="left"/>
    </xf>
    <xf numFmtId="0" fontId="20" fillId="0" borderId="0" xfId="1192" applyAlignment="1">
      <alignment horizontal="right"/>
    </xf>
    <xf numFmtId="0" fontId="125" fillId="5" borderId="6" xfId="4496" applyFont="1" applyFill="1" applyBorder="1" applyAlignment="1" applyProtection="1">
      <alignment horizontal="center"/>
      <protection locked="0"/>
    </xf>
    <xf numFmtId="0" fontId="125" fillId="0" borderId="50" xfId="4496" applyFont="1" applyBorder="1" applyAlignment="1">
      <alignment horizontal="left" vertical="top" wrapText="1"/>
    </xf>
    <xf numFmtId="0" fontId="125" fillId="0" borderId="51" xfId="4496" applyFont="1" applyBorder="1" applyAlignment="1">
      <alignment horizontal="left" vertical="top" wrapText="1"/>
    </xf>
    <xf numFmtId="0" fontId="125" fillId="0" borderId="52" xfId="4496" applyFont="1" applyBorder="1" applyAlignment="1">
      <alignment horizontal="left" vertical="top" wrapText="1"/>
    </xf>
    <xf numFmtId="0" fontId="125" fillId="0" borderId="53" xfId="4496" applyFont="1" applyBorder="1" applyAlignment="1">
      <alignment horizontal="left" vertical="top" wrapText="1"/>
    </xf>
    <xf numFmtId="0" fontId="125" fillId="0" borderId="0" xfId="4496" applyFont="1" applyAlignment="1">
      <alignment horizontal="left" vertical="top" wrapText="1"/>
    </xf>
    <xf numFmtId="0" fontId="125" fillId="0" borderId="54" xfId="4496" applyFont="1" applyBorder="1" applyAlignment="1">
      <alignment horizontal="left" vertical="top" wrapText="1"/>
    </xf>
    <xf numFmtId="9" fontId="20" fillId="0" borderId="6" xfId="1192" applyNumberFormat="1" applyBorder="1" applyAlignment="1">
      <alignment horizontal="center"/>
    </xf>
    <xf numFmtId="9" fontId="20" fillId="0" borderId="6" xfId="1192" quotePrefix="1" applyNumberFormat="1" applyBorder="1" applyAlignment="1">
      <alignment horizontal="center"/>
    </xf>
    <xf numFmtId="9" fontId="20" fillId="0" borderId="0" xfId="1192" quotePrefix="1" applyNumberFormat="1" applyAlignment="1">
      <alignment horizontal="center"/>
    </xf>
    <xf numFmtId="1" fontId="20" fillId="5" borderId="4" xfId="1192" applyNumberFormat="1" applyFill="1" applyBorder="1" applyAlignment="1" applyProtection="1">
      <alignment horizontal="center"/>
      <protection locked="0"/>
    </xf>
    <xf numFmtId="1" fontId="125" fillId="0" borderId="55" xfId="4496" applyNumberFormat="1" applyFont="1" applyBorder="1" applyAlignment="1">
      <alignment horizontal="center" vertical="top" wrapText="1"/>
    </xf>
    <xf numFmtId="1" fontId="125" fillId="0" borderId="6" xfId="4496" applyNumberFormat="1" applyFont="1" applyBorder="1" applyAlignment="1">
      <alignment horizontal="center" vertical="top" wrapText="1"/>
    </xf>
    <xf numFmtId="165" fontId="125" fillId="0" borderId="55" xfId="4496" applyNumberFormat="1" applyFont="1" applyBorder="1" applyAlignment="1">
      <alignment horizontal="center" vertical="top" wrapText="1"/>
    </xf>
    <xf numFmtId="165" fontId="125" fillId="0" borderId="6" xfId="4496" applyNumberFormat="1" applyFont="1" applyBorder="1" applyAlignment="1">
      <alignment horizontal="center" vertical="top" wrapText="1"/>
    </xf>
    <xf numFmtId="168" fontId="125" fillId="43" borderId="55" xfId="4496" applyNumberFormat="1" applyFont="1" applyFill="1" applyBorder="1" applyAlignment="1" applyProtection="1">
      <alignment horizontal="center" vertical="top" wrapText="1"/>
      <protection locked="0"/>
    </xf>
    <xf numFmtId="168" fontId="125" fillId="43" borderId="6" xfId="4496" applyNumberFormat="1" applyFont="1" applyFill="1" applyBorder="1" applyAlignment="1" applyProtection="1">
      <alignment horizontal="center" vertical="top" wrapText="1"/>
      <protection locked="0"/>
    </xf>
    <xf numFmtId="0" fontId="20" fillId="0" borderId="57" xfId="4495" applyFont="1" applyBorder="1" applyAlignment="1">
      <alignment horizontal="left" vertical="center" wrapText="1"/>
    </xf>
    <xf numFmtId="0" fontId="20" fillId="0" borderId="58" xfId="4495" applyFont="1" applyBorder="1" applyAlignment="1">
      <alignment horizontal="left" vertical="center" wrapText="1"/>
    </xf>
    <xf numFmtId="0" fontId="20" fillId="0" borderId="59" xfId="4495" applyFont="1" applyBorder="1" applyAlignment="1">
      <alignment horizontal="left" vertical="center" wrapText="1"/>
    </xf>
    <xf numFmtId="10" fontId="125" fillId="0" borderId="3" xfId="4496" applyNumberFormat="1" applyFont="1" applyBorder="1" applyAlignment="1">
      <alignment horizontal="center" vertical="top" wrapText="1"/>
    </xf>
    <xf numFmtId="10" fontId="125" fillId="0" borderId="4" xfId="4496" applyNumberFormat="1" applyFont="1" applyBorder="1" applyAlignment="1">
      <alignment horizontal="center" vertical="top" wrapText="1"/>
    </xf>
    <xf numFmtId="10" fontId="125" fillId="0" borderId="5" xfId="4496" applyNumberFormat="1" applyFont="1" applyBorder="1" applyAlignment="1">
      <alignment horizontal="center" vertical="top" wrapText="1"/>
    </xf>
    <xf numFmtId="168" fontId="125" fillId="0" borderId="6" xfId="4496" applyNumberFormat="1" applyFont="1" applyBorder="1" applyAlignment="1">
      <alignment horizontal="center" vertical="top"/>
    </xf>
    <xf numFmtId="0" fontId="125" fillId="0" borderId="55" xfId="4496" applyFont="1" applyBorder="1" applyAlignment="1">
      <alignment horizontal="center" vertical="top" wrapText="1"/>
    </xf>
    <xf numFmtId="0" fontId="125" fillId="0" borderId="6" xfId="4496" applyFont="1" applyBorder="1" applyAlignment="1">
      <alignment horizontal="center" vertical="top" wrapText="1"/>
    </xf>
    <xf numFmtId="0" fontId="20" fillId="0" borderId="47" xfId="4495" applyFont="1" applyBorder="1" applyAlignment="1">
      <alignment horizontal="left" vertical="center" wrapText="1"/>
    </xf>
    <xf numFmtId="0" fontId="20" fillId="0" borderId="48" xfId="4495" applyFont="1" applyBorder="1" applyAlignment="1">
      <alignment horizontal="left" vertical="center" wrapText="1"/>
    </xf>
    <xf numFmtId="0" fontId="20" fillId="0" borderId="49" xfId="4495" applyFont="1" applyBorder="1" applyAlignment="1">
      <alignment horizontal="left" vertical="center" wrapText="1"/>
    </xf>
    <xf numFmtId="0" fontId="26" fillId="3" borderId="2" xfId="4495" applyFont="1" applyFill="1" applyBorder="1" applyAlignment="1">
      <alignment horizontal="center" vertical="center"/>
    </xf>
    <xf numFmtId="0" fontId="26" fillId="3" borderId="16" xfId="4495" applyFont="1" applyFill="1" applyBorder="1" applyAlignment="1">
      <alignment horizontal="center" vertical="center"/>
    </xf>
    <xf numFmtId="0" fontId="27" fillId="0" borderId="48" xfId="4495" applyFont="1" applyBorder="1" applyAlignment="1">
      <alignment horizontal="left" vertical="top"/>
    </xf>
    <xf numFmtId="0" fontId="27" fillId="0" borderId="49" xfId="4495" applyFont="1" applyBorder="1" applyAlignment="1">
      <alignment horizontal="left" vertical="top"/>
    </xf>
    <xf numFmtId="0" fontId="20" fillId="0" borderId="50" xfId="4495" applyFont="1" applyBorder="1" applyAlignment="1">
      <alignment vertical="center" wrapText="1"/>
    </xf>
    <xf numFmtId="0" fontId="20" fillId="0" borderId="51" xfId="4495" applyFont="1" applyBorder="1" applyAlignment="1">
      <alignment vertical="center" wrapText="1"/>
    </xf>
    <xf numFmtId="0" fontId="20" fillId="0" borderId="52" xfId="4495" applyFont="1" applyBorder="1" applyAlignment="1">
      <alignment vertical="center" wrapText="1"/>
    </xf>
    <xf numFmtId="0" fontId="20" fillId="0" borderId="53" xfId="4495" applyFont="1" applyBorder="1" applyAlignment="1">
      <alignment vertical="center" wrapText="1"/>
    </xf>
    <xf numFmtId="0" fontId="20" fillId="0" borderId="0" xfId="4495" applyFont="1" applyAlignment="1">
      <alignment vertical="center" wrapText="1"/>
    </xf>
    <xf numFmtId="0" fontId="20" fillId="0" borderId="54" xfId="4495" applyFont="1" applyBorder="1" applyAlignment="1">
      <alignment vertical="center" wrapText="1"/>
    </xf>
    <xf numFmtId="0" fontId="20" fillId="0" borderId="57" xfId="4495" applyFont="1" applyBorder="1" applyAlignment="1">
      <alignment vertical="center" wrapText="1"/>
    </xf>
    <xf numFmtId="0" fontId="20" fillId="0" borderId="58" xfId="4495" applyFont="1" applyBorder="1" applyAlignment="1">
      <alignment vertical="center" wrapText="1"/>
    </xf>
    <xf numFmtId="0" fontId="20" fillId="0" borderId="59" xfId="4495" applyFont="1" applyBorder="1" applyAlignment="1">
      <alignment vertical="center" wrapText="1"/>
    </xf>
    <xf numFmtId="0" fontId="125" fillId="0" borderId="57" xfId="4496" applyFont="1" applyBorder="1" applyAlignment="1">
      <alignment horizontal="left" vertical="top" wrapText="1"/>
    </xf>
    <xf numFmtId="0" fontId="125" fillId="0" borderId="58" xfId="4496" applyFont="1" applyBorder="1" applyAlignment="1">
      <alignment horizontal="left" vertical="top" wrapText="1"/>
    </xf>
    <xf numFmtId="0" fontId="125" fillId="0" borderId="59" xfId="4496" applyFont="1" applyBorder="1" applyAlignment="1">
      <alignment horizontal="left" vertical="top" wrapText="1"/>
    </xf>
    <xf numFmtId="165" fontId="125" fillId="0" borderId="60" xfId="4496" applyNumberFormat="1" applyFont="1" applyBorder="1" applyAlignment="1">
      <alignment horizontal="center" vertical="top" wrapText="1"/>
    </xf>
    <xf numFmtId="0" fontId="125" fillId="5" borderId="60" xfId="4496" applyFont="1" applyFill="1" applyBorder="1" applyAlignment="1" applyProtection="1">
      <alignment horizontal="center"/>
      <protection locked="0"/>
    </xf>
    <xf numFmtId="0" fontId="125" fillId="5" borderId="4" xfId="4496" applyFont="1" applyFill="1" applyBorder="1" applyAlignment="1" applyProtection="1">
      <alignment horizontal="center"/>
      <protection locked="0"/>
    </xf>
    <xf numFmtId="0" fontId="125" fillId="5" borderId="55" xfId="4496" applyFont="1" applyFill="1" applyBorder="1" applyAlignment="1" applyProtection="1">
      <alignment horizontal="center"/>
      <protection locked="0"/>
    </xf>
    <xf numFmtId="168" fontId="125" fillId="0" borderId="55" xfId="4496" applyNumberFormat="1" applyFont="1" applyBorder="1" applyAlignment="1">
      <alignment horizontal="center" vertical="top"/>
    </xf>
    <xf numFmtId="0" fontId="101" fillId="0" borderId="3" xfId="4496" applyFont="1" applyBorder="1" applyAlignment="1">
      <alignment horizontal="left" indent="2"/>
    </xf>
    <xf numFmtId="0" fontId="101" fillId="0" borderId="4" xfId="4496" applyFont="1" applyBorder="1" applyAlignment="1">
      <alignment horizontal="left" indent="2"/>
    </xf>
    <xf numFmtId="0" fontId="101" fillId="0" borderId="5" xfId="4496" applyFont="1" applyBorder="1" applyAlignment="1">
      <alignment horizontal="left" indent="2"/>
    </xf>
    <xf numFmtId="9" fontId="139" fillId="45" borderId="3" xfId="4499" applyFont="1" applyFill="1" applyBorder="1" applyAlignment="1" applyProtection="1">
      <alignment horizontal="center" vertical="center"/>
    </xf>
    <xf numFmtId="9" fontId="139" fillId="45" borderId="4" xfId="4499" applyFont="1" applyFill="1" applyBorder="1" applyAlignment="1" applyProtection="1">
      <alignment horizontal="center" vertical="center"/>
    </xf>
    <xf numFmtId="9" fontId="139" fillId="45" borderId="5" xfId="4499" applyFont="1" applyFill="1" applyBorder="1" applyAlignment="1" applyProtection="1">
      <alignment horizontal="center" vertical="center"/>
    </xf>
    <xf numFmtId="0" fontId="101" fillId="0" borderId="0" xfId="4496" applyFont="1" applyAlignment="1">
      <alignment wrapText="1"/>
    </xf>
    <xf numFmtId="49" fontId="101" fillId="45" borderId="15" xfId="4496" applyNumberFormat="1" applyFont="1" applyFill="1" applyBorder="1" applyAlignment="1">
      <alignment horizontal="center" vertical="center" wrapText="1"/>
    </xf>
    <xf numFmtId="49" fontId="101" fillId="45" borderId="13" xfId="4496" applyNumberFormat="1" applyFont="1" applyFill="1" applyBorder="1" applyAlignment="1">
      <alignment horizontal="center" vertical="center" wrapText="1"/>
    </xf>
    <xf numFmtId="0" fontId="139" fillId="0" borderId="75" xfId="4496" applyFont="1" applyBorder="1" applyAlignment="1">
      <alignment horizontal="center" vertical="top" wrapText="1"/>
    </xf>
    <xf numFmtId="0" fontId="139" fillId="0" borderId="74" xfId="4496" applyFont="1" applyBorder="1" applyAlignment="1">
      <alignment horizontal="center" vertical="top" wrapText="1"/>
    </xf>
    <xf numFmtId="0" fontId="101" fillId="0" borderId="0" xfId="4496" applyFont="1" applyAlignment="1">
      <alignment horizontal="left" wrapText="1"/>
    </xf>
    <xf numFmtId="0" fontId="101" fillId="0" borderId="0" xfId="4496" applyFont="1" applyAlignment="1">
      <alignment horizontal="center" vertical="center" wrapText="1"/>
    </xf>
    <xf numFmtId="0" fontId="101" fillId="43" borderId="0" xfId="4496" applyFont="1" applyFill="1" applyAlignment="1" applyProtection="1">
      <alignment horizontal="left" vertical="top" wrapText="1"/>
      <protection locked="0"/>
    </xf>
    <xf numFmtId="0" fontId="101" fillId="43" borderId="6" xfId="4496" applyFont="1" applyFill="1" applyBorder="1" applyAlignment="1" applyProtection="1">
      <alignment horizontal="left" vertical="top" wrapText="1"/>
      <protection locked="0"/>
    </xf>
    <xf numFmtId="0" fontId="101" fillId="0" borderId="0" xfId="4496" applyFont="1" applyAlignment="1">
      <alignment horizontal="left" wrapText="1" indent="1"/>
    </xf>
    <xf numFmtId="168" fontId="101" fillId="0" borderId="11" xfId="4499" applyNumberFormat="1" applyFont="1" applyFill="1" applyBorder="1" applyAlignment="1" applyProtection="1">
      <alignment horizontal="left" vertical="center" indent="1"/>
    </xf>
    <xf numFmtId="0" fontId="139" fillId="0" borderId="68" xfId="4496" applyFont="1" applyBorder="1" applyAlignment="1">
      <alignment horizontal="left" indent="1"/>
    </xf>
    <xf numFmtId="168" fontId="101" fillId="0" borderId="70" xfId="4499" applyNumberFormat="1" applyFont="1" applyFill="1" applyBorder="1" applyAlignment="1" applyProtection="1">
      <alignment horizontal="left" vertical="center" indent="1"/>
    </xf>
    <xf numFmtId="49" fontId="138" fillId="3" borderId="0" xfId="1192" applyNumberFormat="1" applyFont="1" applyFill="1" applyAlignment="1">
      <alignment horizontal="center" vertical="center"/>
    </xf>
    <xf numFmtId="0" fontId="101" fillId="0" borderId="11" xfId="4496" applyFont="1" applyBorder="1" applyAlignment="1">
      <alignment horizontal="left" indent="1"/>
    </xf>
    <xf numFmtId="0" fontId="101" fillId="0" borderId="11" xfId="4496" applyFont="1" applyBorder="1" applyAlignment="1">
      <alignment horizontal="left" indent="2"/>
    </xf>
    <xf numFmtId="0" fontId="139" fillId="45" borderId="3" xfId="4496" applyFont="1" applyFill="1" applyBorder="1" applyAlignment="1">
      <alignment horizontal="center" vertical="center"/>
    </xf>
    <xf numFmtId="0" fontId="139" fillId="45" borderId="4" xfId="4496" applyFont="1" applyFill="1" applyBorder="1" applyAlignment="1">
      <alignment horizontal="center" vertical="center"/>
    </xf>
    <xf numFmtId="0" fontId="139" fillId="45" borderId="5" xfId="4496" applyFont="1" applyFill="1" applyBorder="1" applyAlignment="1">
      <alignment horizontal="center" vertical="center"/>
    </xf>
    <xf numFmtId="168" fontId="101" fillId="0" borderId="13" xfId="4499" applyNumberFormat="1" applyFont="1" applyFill="1" applyBorder="1" applyAlignment="1" applyProtection="1">
      <alignment horizontal="left" vertical="center" indent="1"/>
    </xf>
    <xf numFmtId="0" fontId="101" fillId="0" borderId="3" xfId="4496" applyFont="1" applyBorder="1" applyAlignment="1">
      <alignment horizontal="left" indent="1"/>
    </xf>
    <xf numFmtId="0" fontId="101" fillId="0" borderId="4" xfId="4496" applyFont="1" applyBorder="1" applyAlignment="1">
      <alignment horizontal="left" indent="1"/>
    </xf>
    <xf numFmtId="0" fontId="101" fillId="0" borderId="5" xfId="4496" applyFont="1" applyBorder="1" applyAlignment="1">
      <alignment horizontal="left" indent="1"/>
    </xf>
    <xf numFmtId="0" fontId="101" fillId="0" borderId="3" xfId="4496" applyFont="1" applyBorder="1"/>
    <xf numFmtId="0" fontId="101" fillId="0" borderId="81" xfId="4496" applyFont="1" applyBorder="1"/>
    <xf numFmtId="0" fontId="101" fillId="0" borderId="94" xfId="4496" applyFont="1" applyBorder="1"/>
    <xf numFmtId="0" fontId="101" fillId="0" borderId="85" xfId="4496" applyFont="1" applyBorder="1"/>
    <xf numFmtId="0" fontId="101" fillId="0" borderId="93" xfId="4496" applyFont="1" applyBorder="1" applyAlignment="1">
      <alignment horizontal="right"/>
    </xf>
    <xf numFmtId="0" fontId="101" fillId="0" borderId="74" xfId="4496" applyFont="1" applyBorder="1" applyAlignment="1">
      <alignment horizontal="right"/>
    </xf>
    <xf numFmtId="0" fontId="101" fillId="0" borderId="75" xfId="4496" applyFont="1" applyBorder="1"/>
    <xf numFmtId="0" fontId="101" fillId="0" borderId="91" xfId="4496" applyFont="1" applyBorder="1"/>
    <xf numFmtId="0" fontId="101" fillId="0" borderId="90" xfId="4496" applyFont="1" applyBorder="1" applyAlignment="1">
      <alignment horizontal="right"/>
    </xf>
    <xf numFmtId="0" fontId="101" fillId="0" borderId="5" xfId="4496" applyFont="1" applyBorder="1" applyAlignment="1">
      <alignment horizontal="right"/>
    </xf>
    <xf numFmtId="0" fontId="101" fillId="0" borderId="69" xfId="4496" applyFont="1" applyBorder="1" applyAlignment="1">
      <alignment horizontal="right"/>
    </xf>
    <xf numFmtId="0" fontId="101" fillId="0" borderId="70" xfId="4496" applyFont="1" applyBorder="1" applyAlignment="1">
      <alignment horizontal="right"/>
    </xf>
    <xf numFmtId="0" fontId="25" fillId="0" borderId="6" xfId="271" applyFont="1" applyBorder="1" applyAlignment="1">
      <alignment horizontal="center"/>
    </xf>
    <xf numFmtId="0" fontId="25" fillId="0" borderId="0" xfId="0" applyFont="1" applyAlignment="1" applyProtection="1">
      <alignment wrapText="1"/>
      <protection locked="0"/>
    </xf>
    <xf numFmtId="3" fontId="20" fillId="0" borderId="0" xfId="0" applyNumberFormat="1" applyFont="1" applyAlignment="1">
      <alignment horizontal="left" vertical="top" wrapText="1"/>
    </xf>
    <xf numFmtId="3" fontId="29" fillId="0" borderId="0" xfId="0" applyNumberFormat="1" applyFont="1" applyAlignment="1">
      <alignment horizontal="left" vertical="top" wrapText="1"/>
    </xf>
    <xf numFmtId="0" fontId="20" fillId="43" borderId="0" xfId="0" applyFont="1" applyFill="1" applyAlignment="1">
      <alignment horizontal="left"/>
    </xf>
  </cellXfs>
  <cellStyles count="26507">
    <cellStyle name="20% - Accent1" xfId="1" builtinId="30" customBuiltin="1"/>
    <cellStyle name="20% - Accent1 10" xfId="4504" xr:uid="{00000000-0005-0000-0000-000001000000}"/>
    <cellStyle name="20% - Accent1 10 2" xfId="13830" xr:uid="{6997CEAC-7A84-4A48-9EA5-0A29D855F8B7}"/>
    <cellStyle name="20% - Accent1 10 3" xfId="22277" xr:uid="{C57F92B4-6CB9-4C53-95EB-20E48FF205C7}"/>
    <cellStyle name="20% - Accent1 11" xfId="8758" xr:uid="{2F735C8D-70CB-4E84-A95A-4445894745BC}"/>
    <cellStyle name="20% - Accent1 12" xfId="9613" xr:uid="{BF649334-4F8A-4AD4-8678-3FF6223F0FA2}"/>
    <cellStyle name="20% - Accent1 13" xfId="18060" xr:uid="{46C9EDE0-DFC1-4DE7-8152-C3FA15CE0118}"/>
    <cellStyle name="20% - Accent1 2" xfId="2" xr:uid="{00000000-0005-0000-0000-000002000000}"/>
    <cellStyle name="20% - Accent1 2 10" xfId="8797" xr:uid="{7F4BEAE6-CC35-4B07-89BD-8FC5D6B3D35B}"/>
    <cellStyle name="20% - Accent1 2 11" xfId="9614" xr:uid="{1834CC8F-1E47-4277-87BA-69B8E2BC46C3}"/>
    <cellStyle name="20% - Accent1 2 12" xfId="18061" xr:uid="{5309583F-32FC-4504-AD34-B3CBD02333CF}"/>
    <cellStyle name="20% - Accent1 2 2" xfId="3" xr:uid="{00000000-0005-0000-0000-000003000000}"/>
    <cellStyle name="20% - Accent1 2 2 10" xfId="9615" xr:uid="{ACC28967-B1D7-4BE3-90A9-3C325AA94F51}"/>
    <cellStyle name="20% - Accent1 2 2 11" xfId="18062" xr:uid="{717B3261-F72F-4D6C-8DE7-E50E5E373686}"/>
    <cellStyle name="20% - Accent1 2 2 2" xfId="4" xr:uid="{00000000-0005-0000-0000-000004000000}"/>
    <cellStyle name="20% - Accent1 2 2 2 10" xfId="18063" xr:uid="{B6CC2F3D-8D29-4A53-A7F1-095EC3BA2842}"/>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D453CC69-3DDB-4344-8151-2A749FC79F08}"/>
    <cellStyle name="20% - Accent1 2 2 2 2 2 2 3" xfId="24839" xr:uid="{38A657B9-1C6F-4564-878C-23624E280E0A}"/>
    <cellStyle name="20% - Accent1 2 2 2 2 2 3" xfId="12175" xr:uid="{10E93B01-8248-48EC-8921-236B6230984A}"/>
    <cellStyle name="20% - Accent1 2 2 2 2 2 4" xfId="20622" xr:uid="{1927D209-E77A-4923-AA32-2DFD156573D0}"/>
    <cellStyle name="20% - Accent1 2 2 2 2 3" xfId="4921" xr:uid="{00000000-0005-0000-0000-000008000000}"/>
    <cellStyle name="20% - Accent1 2 2 2 2 3 2" xfId="14247" xr:uid="{E3CACF34-629F-4CE3-97CF-3A8F71A9BB43}"/>
    <cellStyle name="20% - Accent1 2 2 2 2 3 3" xfId="22694" xr:uid="{FA18101A-FEBB-4D63-9C66-0DEE2FE4174C}"/>
    <cellStyle name="20% - Accent1 2 2 2 2 4" xfId="9532" xr:uid="{D5FAB462-C5A9-4306-AA37-C118C84F9393}"/>
    <cellStyle name="20% - Accent1 2 2 2 2 5" xfId="10030" xr:uid="{77F8C972-6E9E-4D0B-9869-036645097272}"/>
    <cellStyle name="20% - Accent1 2 2 2 2 6" xfId="18477" xr:uid="{909D62D2-207C-44B0-97A5-93F387A3294C}"/>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92A3D7EA-EC4F-4116-995E-A372538AC49C}"/>
    <cellStyle name="20% - Accent1 2 2 2 3 2 2 3" xfId="25252" xr:uid="{918066FA-42F9-4DD5-9641-0B840229EC50}"/>
    <cellStyle name="20% - Accent1 2 2 2 3 2 3" xfId="12588" xr:uid="{25B2CCE5-6B60-42FA-A22E-FA515A754FD8}"/>
    <cellStyle name="20% - Accent1 2 2 2 3 2 4" xfId="21035" xr:uid="{F08DBFFD-02BF-444D-A214-20804012642E}"/>
    <cellStyle name="20% - Accent1 2 2 2 3 3" xfId="5334" xr:uid="{00000000-0005-0000-0000-00000C000000}"/>
    <cellStyle name="20% - Accent1 2 2 2 3 3 2" xfId="14660" xr:uid="{25362344-BFF4-400A-AB8A-587619BAD30A}"/>
    <cellStyle name="20% - Accent1 2 2 2 3 3 3" xfId="23107" xr:uid="{45652E00-86D0-4905-814B-A0BEC2F205F2}"/>
    <cellStyle name="20% - Accent1 2 2 2 3 4" xfId="10443" xr:uid="{29445CE6-67FF-4660-A183-2DA2E91AE0D4}"/>
    <cellStyle name="20% - Accent1 2 2 2 3 5" xfId="18890" xr:uid="{76612137-00EB-415E-B713-7AB4B02F5F65}"/>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25E848E3-2C49-4B99-BA47-04FC3421AA0D}"/>
    <cellStyle name="20% - Accent1 2 2 2 4 2 2 3" xfId="25665" xr:uid="{BD6CBA79-2E64-412A-8E05-CE9C91C602F9}"/>
    <cellStyle name="20% - Accent1 2 2 2 4 2 3" xfId="13001" xr:uid="{AE520DCD-E031-45B6-8240-0E2B225427CB}"/>
    <cellStyle name="20% - Accent1 2 2 2 4 2 4" xfId="21448" xr:uid="{C10EF7FB-EBE9-409D-B83D-90E449BA709E}"/>
    <cellStyle name="20% - Accent1 2 2 2 4 3" xfId="5747" xr:uid="{00000000-0005-0000-0000-000010000000}"/>
    <cellStyle name="20% - Accent1 2 2 2 4 3 2" xfId="15073" xr:uid="{691424DE-6A48-4002-9B54-68DD59A28243}"/>
    <cellStyle name="20% - Accent1 2 2 2 4 3 3" xfId="23520" xr:uid="{3501AB6F-9C1F-4E5B-9B2C-7BA916DE2C9D}"/>
    <cellStyle name="20% - Accent1 2 2 2 4 4" xfId="10856" xr:uid="{B6CB36C1-6E99-4C27-9933-5724BD944618}"/>
    <cellStyle name="20% - Accent1 2 2 2 4 5" xfId="19303" xr:uid="{D5FE37A3-5978-4E9B-8AA9-3BA1FED86AB6}"/>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6863BBD1-FCD6-4544-9492-C71758F173E2}"/>
    <cellStyle name="20% - Accent1 2 2 2 5 2 2 3" xfId="26078" xr:uid="{4092A6EC-2E9E-45AD-BDB8-36597B740715}"/>
    <cellStyle name="20% - Accent1 2 2 2 5 2 3" xfId="13414" xr:uid="{E1786646-13BF-4E51-A784-7FFA816D8666}"/>
    <cellStyle name="20% - Accent1 2 2 2 5 2 4" xfId="21861" xr:uid="{4F10348D-DEA0-411E-9425-86A7CCF6C234}"/>
    <cellStyle name="20% - Accent1 2 2 2 5 3" xfId="6160" xr:uid="{00000000-0005-0000-0000-000014000000}"/>
    <cellStyle name="20% - Accent1 2 2 2 5 3 2" xfId="15486" xr:uid="{0CA29E0C-6947-4202-832B-FBC261B10A1D}"/>
    <cellStyle name="20% - Accent1 2 2 2 5 3 3" xfId="23933" xr:uid="{2AE47B54-5D04-4FFD-A4BD-7A877D736F63}"/>
    <cellStyle name="20% - Accent1 2 2 2 5 4" xfId="11269" xr:uid="{BC2441F7-1C9F-4494-9E3D-A093904F8856}"/>
    <cellStyle name="20% - Accent1 2 2 2 5 5" xfId="19716" xr:uid="{F983C164-1266-49AE-A679-6889BEB05F40}"/>
    <cellStyle name="20% - Accent1 2 2 2 6" xfId="2267" xr:uid="{00000000-0005-0000-0000-000015000000}"/>
    <cellStyle name="20% - Accent1 2 2 2 6 2" xfId="6573" xr:uid="{00000000-0005-0000-0000-000016000000}"/>
    <cellStyle name="20% - Accent1 2 2 2 6 2 2" xfId="15899" xr:uid="{906E207B-876A-4321-B6B7-6FB602CBBAFA}"/>
    <cellStyle name="20% - Accent1 2 2 2 6 2 3" xfId="24346" xr:uid="{91BB88B6-586D-4544-ADF1-876D19ECFBE8}"/>
    <cellStyle name="20% - Accent1 2 2 2 6 3" xfId="11682" xr:uid="{89EFDFD9-F177-4D33-829F-DE40D679A575}"/>
    <cellStyle name="20% - Accent1 2 2 2 6 4" xfId="20129" xr:uid="{41B43188-3825-4852-A9CE-8E62D877BF7B}"/>
    <cellStyle name="20% - Accent1 2 2 2 7" xfId="4507" xr:uid="{00000000-0005-0000-0000-000017000000}"/>
    <cellStyle name="20% - Accent1 2 2 2 7 2" xfId="13833" xr:uid="{7A0707AA-168B-45BA-B703-7A5E32DD6757}"/>
    <cellStyle name="20% - Accent1 2 2 2 7 3" xfId="22280" xr:uid="{A6EF6D09-C2C4-4A91-B64E-8DE821E36172}"/>
    <cellStyle name="20% - Accent1 2 2 2 8" xfId="9107" xr:uid="{4168D01E-823F-4E8F-9A1D-70697AC1F241}"/>
    <cellStyle name="20% - Accent1 2 2 2 9" xfId="9616" xr:uid="{0AF0B2D6-8EAA-4E7C-BBD9-14F1BF18BD46}"/>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47F611E6-E357-46E7-99C6-513F57A42398}"/>
    <cellStyle name="20% - Accent1 2 2 3 2 2 3" xfId="24838" xr:uid="{950D51AE-F9D4-4A67-9105-0310663084D8}"/>
    <cellStyle name="20% - Accent1 2 2 3 2 3" xfId="12174" xr:uid="{FFDA585C-0D29-4BDE-9DD3-B901EC0D141A}"/>
    <cellStyle name="20% - Accent1 2 2 3 2 4" xfId="20621" xr:uid="{50732100-63E8-415B-80CD-1B14133DE18B}"/>
    <cellStyle name="20% - Accent1 2 2 3 3" xfId="4920" xr:uid="{00000000-0005-0000-0000-00001B000000}"/>
    <cellStyle name="20% - Accent1 2 2 3 3 2" xfId="14246" xr:uid="{57354CC2-4868-4E81-8F73-43264C13DF96}"/>
    <cellStyle name="20% - Accent1 2 2 3 3 3" xfId="22693" xr:uid="{A7401C3C-9FA5-4427-ADDA-D020AED5E860}"/>
    <cellStyle name="20% - Accent1 2 2 3 4" xfId="9325" xr:uid="{DE19910B-698B-4F31-B25F-3533B35DDA95}"/>
    <cellStyle name="20% - Accent1 2 2 3 5" xfId="10029" xr:uid="{71D4D10D-A38C-42EC-BA01-8024A76BEBE3}"/>
    <cellStyle name="20% - Accent1 2 2 3 6" xfId="18476" xr:uid="{FD7F1C5F-9542-4430-8E79-0F033A8D6E7B}"/>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9F5715F7-FAE5-4A97-B151-B2134DA4E957}"/>
    <cellStyle name="20% - Accent1 2 2 4 2 2 3" xfId="25251" xr:uid="{EF762283-9A40-4722-A91B-507903788BDA}"/>
    <cellStyle name="20% - Accent1 2 2 4 2 3" xfId="12587" xr:uid="{E17BB320-C474-4B19-8AEA-6536A9221DB4}"/>
    <cellStyle name="20% - Accent1 2 2 4 2 4" xfId="21034" xr:uid="{454E1968-D706-485A-8ED9-341E93B81D1B}"/>
    <cellStyle name="20% - Accent1 2 2 4 3" xfId="5333" xr:uid="{00000000-0005-0000-0000-00001F000000}"/>
    <cellStyle name="20% - Accent1 2 2 4 3 2" xfId="14659" xr:uid="{699671C8-D00B-453F-8022-897625D9A42B}"/>
    <cellStyle name="20% - Accent1 2 2 4 3 3" xfId="23106" xr:uid="{C7716FD6-F441-444B-9A38-97E2FB46849E}"/>
    <cellStyle name="20% - Accent1 2 2 4 4" xfId="10442" xr:uid="{AEE8037B-A1D7-4B78-A037-C5D0C35AD18F}"/>
    <cellStyle name="20% - Accent1 2 2 4 5" xfId="18889" xr:uid="{CBD9AF36-77D7-4AC3-BC9E-1117FAAD0335}"/>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C3F940B0-C101-417E-BD56-F977160BBAA1}"/>
    <cellStyle name="20% - Accent1 2 2 5 2 2 3" xfId="25664" xr:uid="{1087D17D-E2A6-4F15-92A2-1165D3144A88}"/>
    <cellStyle name="20% - Accent1 2 2 5 2 3" xfId="13000" xr:uid="{5063463F-C9D5-4F94-B4DD-E7EDDB053499}"/>
    <cellStyle name="20% - Accent1 2 2 5 2 4" xfId="21447" xr:uid="{E24D79C4-41FE-4FA5-AA42-A37220A2E50F}"/>
    <cellStyle name="20% - Accent1 2 2 5 3" xfId="5746" xr:uid="{00000000-0005-0000-0000-000023000000}"/>
    <cellStyle name="20% - Accent1 2 2 5 3 2" xfId="15072" xr:uid="{29C61E05-0773-476C-A599-5C7ADDAB1C6B}"/>
    <cellStyle name="20% - Accent1 2 2 5 3 3" xfId="23519" xr:uid="{2323BEA5-BF51-4266-B8C5-561844CAFFBF}"/>
    <cellStyle name="20% - Accent1 2 2 5 4" xfId="10855" xr:uid="{A1C8D77B-F443-4509-9506-17C7B32A58DF}"/>
    <cellStyle name="20% - Accent1 2 2 5 5" xfId="19302" xr:uid="{84AA4361-BB20-4AB9-81C7-53924CEAC2FA}"/>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37752BA2-D3EA-4D6C-B887-D8414210D550}"/>
    <cellStyle name="20% - Accent1 2 2 6 2 2 3" xfId="26077" xr:uid="{140810E1-5FD5-48C2-AA21-FD5BF451B6B5}"/>
    <cellStyle name="20% - Accent1 2 2 6 2 3" xfId="13413" xr:uid="{31B43D91-2B33-44D1-A12A-FB2DC2304E4E}"/>
    <cellStyle name="20% - Accent1 2 2 6 2 4" xfId="21860" xr:uid="{8772BB4F-357E-4B5E-B3C9-D7B18F68A9B1}"/>
    <cellStyle name="20% - Accent1 2 2 6 3" xfId="6159" xr:uid="{00000000-0005-0000-0000-000027000000}"/>
    <cellStyle name="20% - Accent1 2 2 6 3 2" xfId="15485" xr:uid="{68027910-B2DC-4482-9D1F-2E56A80EBEAC}"/>
    <cellStyle name="20% - Accent1 2 2 6 3 3" xfId="23932" xr:uid="{5F9D0B97-B7BE-4CA4-A6AD-9500F5C50A47}"/>
    <cellStyle name="20% - Accent1 2 2 6 4" xfId="11268" xr:uid="{34548568-63C9-47D3-A18E-D83317ACF408}"/>
    <cellStyle name="20% - Accent1 2 2 6 5" xfId="19715" xr:uid="{71BCAF7A-EEAC-42B4-A352-E037977021C5}"/>
    <cellStyle name="20% - Accent1 2 2 7" xfId="2266" xr:uid="{00000000-0005-0000-0000-000028000000}"/>
    <cellStyle name="20% - Accent1 2 2 7 2" xfId="6572" xr:uid="{00000000-0005-0000-0000-000029000000}"/>
    <cellStyle name="20% - Accent1 2 2 7 2 2" xfId="15898" xr:uid="{A72B8C72-A532-44F6-8FF0-8EC5433791DB}"/>
    <cellStyle name="20% - Accent1 2 2 7 2 3" xfId="24345" xr:uid="{41BA1ED0-B6BD-45E6-A3FF-FB320062243B}"/>
    <cellStyle name="20% - Accent1 2 2 7 3" xfId="11681" xr:uid="{B82AE78C-0975-45A5-A92C-02D4B1852AEC}"/>
    <cellStyle name="20% - Accent1 2 2 7 4" xfId="20128" xr:uid="{7BF093CB-185A-426D-A847-80B912F4709E}"/>
    <cellStyle name="20% - Accent1 2 2 8" xfId="4506" xr:uid="{00000000-0005-0000-0000-00002A000000}"/>
    <cellStyle name="20% - Accent1 2 2 8 2" xfId="13832" xr:uid="{5105B116-8086-4C7C-B267-5430BBBD8D52}"/>
    <cellStyle name="20% - Accent1 2 2 8 3" xfId="22279" xr:uid="{6977E3B8-FEA4-42BA-8EDB-2268977EEDD8}"/>
    <cellStyle name="20% - Accent1 2 2 9" xfId="8900" xr:uid="{7D7E3EAF-DF6A-403F-8C20-66BB9757790F}"/>
    <cellStyle name="20% - Accent1 2 3" xfId="5" xr:uid="{00000000-0005-0000-0000-00002B000000}"/>
    <cellStyle name="20% - Accent1 2 3 10" xfId="18064" xr:uid="{DA6F328B-3447-4405-A898-51900430EEE9}"/>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0D73C443-BEA7-4F40-A35D-0B779ED036D6}"/>
    <cellStyle name="20% - Accent1 2 3 2 2 2 3" xfId="24840" xr:uid="{4B7323F6-C54C-47E7-BF52-349725CCF0D2}"/>
    <cellStyle name="20% - Accent1 2 3 2 2 3" xfId="12176" xr:uid="{1247B6F0-2492-4198-A524-EE65C61835CA}"/>
    <cellStyle name="20% - Accent1 2 3 2 2 4" xfId="20623" xr:uid="{A2CB2B64-B219-4003-80B4-A9E73A5A0DE5}"/>
    <cellStyle name="20% - Accent1 2 3 2 3" xfId="4922" xr:uid="{00000000-0005-0000-0000-00002F000000}"/>
    <cellStyle name="20% - Accent1 2 3 2 3 2" xfId="14248" xr:uid="{2D59AC32-D886-4BE6-B120-01AFA4FD4649}"/>
    <cellStyle name="20% - Accent1 2 3 2 3 3" xfId="22695" xr:uid="{72C2E484-0580-4E14-945B-6D1C2C53FC0E}"/>
    <cellStyle name="20% - Accent1 2 3 2 4" xfId="9429" xr:uid="{CCD4BD61-3143-497B-A316-8024A8762A6C}"/>
    <cellStyle name="20% - Accent1 2 3 2 5" xfId="10031" xr:uid="{C03BE4B1-0325-4454-A1CA-AF54B6ED0E29}"/>
    <cellStyle name="20% - Accent1 2 3 2 6" xfId="18478" xr:uid="{556921C9-93B8-4B66-AB16-682C791B1FB3}"/>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4E68CC75-9566-44DF-80F1-D11DAE9E4D12}"/>
    <cellStyle name="20% - Accent1 2 3 3 2 2 3" xfId="25253" xr:uid="{2985572F-10FC-4499-95B8-B58F6B6432FA}"/>
    <cellStyle name="20% - Accent1 2 3 3 2 3" xfId="12589" xr:uid="{87FE4AB9-C629-4AA6-921C-32290E2EBEDC}"/>
    <cellStyle name="20% - Accent1 2 3 3 2 4" xfId="21036" xr:uid="{08AB6818-D985-4B9E-AFB9-907A17AEDEAD}"/>
    <cellStyle name="20% - Accent1 2 3 3 3" xfId="5335" xr:uid="{00000000-0005-0000-0000-000033000000}"/>
    <cellStyle name="20% - Accent1 2 3 3 3 2" xfId="14661" xr:uid="{3638EFEF-6BD5-4956-AF4B-6363850C74BF}"/>
    <cellStyle name="20% - Accent1 2 3 3 3 3" xfId="23108" xr:uid="{6EBE805B-CA19-4FA3-AB9C-C42AEF6BF291}"/>
    <cellStyle name="20% - Accent1 2 3 3 4" xfId="10444" xr:uid="{B4CFD15A-2C08-4E42-B3F1-061E4A3C08EC}"/>
    <cellStyle name="20% - Accent1 2 3 3 5" xfId="18891" xr:uid="{813F5732-4692-47C3-8A02-7154B47B2A24}"/>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13D699A9-38FD-4181-B2E5-90FCD1EAA58E}"/>
    <cellStyle name="20% - Accent1 2 3 4 2 2 3" xfId="25666" xr:uid="{ACCCBC07-BB63-45FC-89DF-4946ABD2EC41}"/>
    <cellStyle name="20% - Accent1 2 3 4 2 3" xfId="13002" xr:uid="{067389BE-57E5-4668-9A17-9DDF3E1DD4EF}"/>
    <cellStyle name="20% - Accent1 2 3 4 2 4" xfId="21449" xr:uid="{FE4AA0DF-5955-4710-8CFE-0B64EB4428D6}"/>
    <cellStyle name="20% - Accent1 2 3 4 3" xfId="5748" xr:uid="{00000000-0005-0000-0000-000037000000}"/>
    <cellStyle name="20% - Accent1 2 3 4 3 2" xfId="15074" xr:uid="{708EE774-B73C-47D8-A519-85A43E6B2392}"/>
    <cellStyle name="20% - Accent1 2 3 4 3 3" xfId="23521" xr:uid="{A9A6F5C5-F90A-455E-A83C-C381A742F178}"/>
    <cellStyle name="20% - Accent1 2 3 4 4" xfId="10857" xr:uid="{2F1809E3-E804-4CAD-BFC7-57B821098A53}"/>
    <cellStyle name="20% - Accent1 2 3 4 5" xfId="19304" xr:uid="{1C7DA466-FBD3-4490-8062-625A428DAB1D}"/>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E44F5530-7139-44ED-B3B4-70EC25AA801A}"/>
    <cellStyle name="20% - Accent1 2 3 5 2 2 3" xfId="26079" xr:uid="{AD8B0530-A363-4866-8486-B012535C07D1}"/>
    <cellStyle name="20% - Accent1 2 3 5 2 3" xfId="13415" xr:uid="{C56CE204-A54F-4728-8378-3EFC10F9F7E0}"/>
    <cellStyle name="20% - Accent1 2 3 5 2 4" xfId="21862" xr:uid="{918157C8-8337-41D4-BE49-FAC8EB4086EA}"/>
    <cellStyle name="20% - Accent1 2 3 5 3" xfId="6161" xr:uid="{00000000-0005-0000-0000-00003B000000}"/>
    <cellStyle name="20% - Accent1 2 3 5 3 2" xfId="15487" xr:uid="{6359FEDC-622F-4F4C-8801-EC74548E71F0}"/>
    <cellStyle name="20% - Accent1 2 3 5 3 3" xfId="23934" xr:uid="{C45E061D-EFC1-48D3-8BE4-FB33796A182F}"/>
    <cellStyle name="20% - Accent1 2 3 5 4" xfId="11270" xr:uid="{1E737F99-107D-4B71-814D-73D8E13410BB}"/>
    <cellStyle name="20% - Accent1 2 3 5 5" xfId="19717" xr:uid="{6EAE9641-7477-4427-B8BD-D1CEFCA04EA5}"/>
    <cellStyle name="20% - Accent1 2 3 6" xfId="2268" xr:uid="{00000000-0005-0000-0000-00003C000000}"/>
    <cellStyle name="20% - Accent1 2 3 6 2" xfId="6574" xr:uid="{00000000-0005-0000-0000-00003D000000}"/>
    <cellStyle name="20% - Accent1 2 3 6 2 2" xfId="15900" xr:uid="{31AA5EDA-3769-47B9-BED9-2E45F57E683E}"/>
    <cellStyle name="20% - Accent1 2 3 6 2 3" xfId="24347" xr:uid="{DE67AE39-EB51-4C47-9D08-BAB23E0C9C44}"/>
    <cellStyle name="20% - Accent1 2 3 6 3" xfId="11683" xr:uid="{2FA78567-4929-41E7-9118-2F183C2CF50C}"/>
    <cellStyle name="20% - Accent1 2 3 6 4" xfId="20130" xr:uid="{492AD746-F18B-46BD-816D-9CB9224CE1C5}"/>
    <cellStyle name="20% - Accent1 2 3 7" xfId="4508" xr:uid="{00000000-0005-0000-0000-00003E000000}"/>
    <cellStyle name="20% - Accent1 2 3 7 2" xfId="13834" xr:uid="{1037BC31-E87A-40C9-8A4E-767F9E6FF840}"/>
    <cellStyle name="20% - Accent1 2 3 7 3" xfId="22281" xr:uid="{880E5FD8-6BAD-4723-B9E7-21790B7BEA26}"/>
    <cellStyle name="20% - Accent1 2 3 8" xfId="9004" xr:uid="{14A9C135-BB7B-44DD-97E1-B6B10773DEE2}"/>
    <cellStyle name="20% - Accent1 2 3 9" xfId="9617" xr:uid="{9C6A5CF9-BCB4-4039-A9BA-2A0FE266A83F}"/>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8A1F4953-18FB-48FA-9BAC-8B3D8CFF48C3}"/>
    <cellStyle name="20% - Accent1 2 4 2 2 3" xfId="24837" xr:uid="{2E6B97EF-02AD-4C99-B5CD-61E0E3987AC1}"/>
    <cellStyle name="20% - Accent1 2 4 2 3" xfId="12173" xr:uid="{CB69419B-A8AC-4EFB-A5A1-2D533D612651}"/>
    <cellStyle name="20% - Accent1 2 4 2 4" xfId="20620" xr:uid="{74C759B5-2992-45D7-A3E8-C1BAEAD64917}"/>
    <cellStyle name="20% - Accent1 2 4 3" xfId="4919" xr:uid="{00000000-0005-0000-0000-000042000000}"/>
    <cellStyle name="20% - Accent1 2 4 3 2" xfId="14245" xr:uid="{B09B6036-42D2-4978-A691-7B61CD482B7D}"/>
    <cellStyle name="20% - Accent1 2 4 3 3" xfId="22692" xr:uid="{C3F0503E-135E-4F10-A332-F1702723359D}"/>
    <cellStyle name="20% - Accent1 2 4 4" xfId="9221" xr:uid="{11532E3F-E59C-4FF7-9F45-291A17A69435}"/>
    <cellStyle name="20% - Accent1 2 4 5" xfId="10028" xr:uid="{F478D181-60EA-4063-8AD9-CC51E4FCEA48}"/>
    <cellStyle name="20% - Accent1 2 4 6" xfId="18475" xr:uid="{879C73E0-463F-433E-9A38-F5011C5221EE}"/>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C95A7DD2-685E-434E-A71A-BA953F431CF4}"/>
    <cellStyle name="20% - Accent1 2 5 2 2 3" xfId="25250" xr:uid="{AC96E834-89ED-49BD-9173-BC8A1B128346}"/>
    <cellStyle name="20% - Accent1 2 5 2 3" xfId="12586" xr:uid="{7648392D-8B67-4958-93FB-CC06C1C4F830}"/>
    <cellStyle name="20% - Accent1 2 5 2 4" xfId="21033" xr:uid="{557B3F60-D9DC-4622-9611-05E32207E169}"/>
    <cellStyle name="20% - Accent1 2 5 3" xfId="5332" xr:uid="{00000000-0005-0000-0000-000046000000}"/>
    <cellStyle name="20% - Accent1 2 5 3 2" xfId="14658" xr:uid="{061469D2-C08D-4AF1-A6BB-D339CFAA1057}"/>
    <cellStyle name="20% - Accent1 2 5 3 3" xfId="23105" xr:uid="{E8E3E7AC-788B-43DC-91E4-F21A4558DD52}"/>
    <cellStyle name="20% - Accent1 2 5 4" xfId="10441" xr:uid="{19AFA25D-C736-4F68-AD8E-14D703BB0B4C}"/>
    <cellStyle name="20% - Accent1 2 5 5" xfId="18888" xr:uid="{89664512-22AF-434E-87A1-8332CCB34892}"/>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3118AE4A-FD50-4277-B638-FF6EACCA8156}"/>
    <cellStyle name="20% - Accent1 2 6 2 2 3" xfId="25663" xr:uid="{FA8754CD-9301-4991-98AB-201AA040E5F0}"/>
    <cellStyle name="20% - Accent1 2 6 2 3" xfId="12999" xr:uid="{57F40872-CB9B-4D3E-879F-1891A5E82F9A}"/>
    <cellStyle name="20% - Accent1 2 6 2 4" xfId="21446" xr:uid="{76C2F108-3A53-4687-83BB-72F330B98A97}"/>
    <cellStyle name="20% - Accent1 2 6 3" xfId="5745" xr:uid="{00000000-0005-0000-0000-00004A000000}"/>
    <cellStyle name="20% - Accent1 2 6 3 2" xfId="15071" xr:uid="{1F54C213-6546-4981-A058-512A3AC706B3}"/>
    <cellStyle name="20% - Accent1 2 6 3 3" xfId="23518" xr:uid="{B22B86D4-219B-43DF-A1DB-6D70CD4C0803}"/>
    <cellStyle name="20% - Accent1 2 6 4" xfId="10854" xr:uid="{55171545-1380-48E3-91C0-A5250215E9CB}"/>
    <cellStyle name="20% - Accent1 2 6 5" xfId="19301" xr:uid="{02B20829-92BF-4C67-BED9-E5257E4D32FB}"/>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86874B5C-32C4-499D-B1A6-A232C0B0513A}"/>
    <cellStyle name="20% - Accent1 2 7 2 2 3" xfId="26076" xr:uid="{B0A7B068-2F09-4BF4-8EA0-2C2CAD3A1093}"/>
    <cellStyle name="20% - Accent1 2 7 2 3" xfId="13412" xr:uid="{0BF363DB-1901-413B-AFFD-676A756789BC}"/>
    <cellStyle name="20% - Accent1 2 7 2 4" xfId="21859" xr:uid="{23807C06-CD63-4984-ABEF-29A351DD688C}"/>
    <cellStyle name="20% - Accent1 2 7 3" xfId="6158" xr:uid="{00000000-0005-0000-0000-00004E000000}"/>
    <cellStyle name="20% - Accent1 2 7 3 2" xfId="15484" xr:uid="{B26EAE4A-C874-41F7-8ADD-102B2DCDD55B}"/>
    <cellStyle name="20% - Accent1 2 7 3 3" xfId="23931" xr:uid="{5EBD8037-BE04-4039-BA81-A56AF8B43727}"/>
    <cellStyle name="20% - Accent1 2 7 4" xfId="11267" xr:uid="{E5CCB70F-CBB0-4D0A-B7DB-ACAC782F7D8F}"/>
    <cellStyle name="20% - Accent1 2 7 5" xfId="19714" xr:uid="{BAB9AEB9-508C-402D-B8AA-AE7B4E1B4448}"/>
    <cellStyle name="20% - Accent1 2 8" xfId="2265" xr:uid="{00000000-0005-0000-0000-00004F000000}"/>
    <cellStyle name="20% - Accent1 2 8 2" xfId="6571" xr:uid="{00000000-0005-0000-0000-000050000000}"/>
    <cellStyle name="20% - Accent1 2 8 2 2" xfId="15897" xr:uid="{1981FA49-BF1A-419C-8591-6AFEDFC8312C}"/>
    <cellStyle name="20% - Accent1 2 8 2 3" xfId="24344" xr:uid="{369ED25D-7448-4DF7-A097-CD0940F0699F}"/>
    <cellStyle name="20% - Accent1 2 8 3" xfId="11680" xr:uid="{2D94330C-01EB-43A8-90E7-9717AA132488}"/>
    <cellStyle name="20% - Accent1 2 8 4" xfId="20127" xr:uid="{5FC9B195-67BE-4825-B1B3-7B30AF021654}"/>
    <cellStyle name="20% - Accent1 2 9" xfId="4505" xr:uid="{00000000-0005-0000-0000-000051000000}"/>
    <cellStyle name="20% - Accent1 2 9 2" xfId="13831" xr:uid="{C4FECE73-8199-4774-9835-19E2D6F72F31}"/>
    <cellStyle name="20% - Accent1 2 9 3" xfId="22278" xr:uid="{0A6CBEAF-8EAA-4C69-AA2C-5F2AF882ACD8}"/>
    <cellStyle name="20% - Accent1 3" xfId="6" xr:uid="{00000000-0005-0000-0000-000052000000}"/>
    <cellStyle name="20% - Accent1 3 10" xfId="9618" xr:uid="{11D637EC-9802-43A4-A56A-AF128E71144D}"/>
    <cellStyle name="20% - Accent1 3 11" xfId="18065" xr:uid="{B946FA5F-4016-4103-AC6D-2DD9D6F0B575}"/>
    <cellStyle name="20% - Accent1 3 2" xfId="7" xr:uid="{00000000-0005-0000-0000-000053000000}"/>
    <cellStyle name="20% - Accent1 3 2 10" xfId="18066" xr:uid="{118A1E31-170E-410A-9E80-AAC8E85E337A}"/>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5989B91B-5F77-47D0-8323-93E229548845}"/>
    <cellStyle name="20% - Accent1 3 2 2 2 2 3" xfId="24842" xr:uid="{F06857DC-7DA8-4DB6-A0F2-B44502491294}"/>
    <cellStyle name="20% - Accent1 3 2 2 2 3" xfId="12178" xr:uid="{EE11B55C-DE8D-48DA-A5CD-38CD71202502}"/>
    <cellStyle name="20% - Accent1 3 2 2 2 4" xfId="20625" xr:uid="{A1B0EA25-824E-4A3F-8070-AB0D171F5DC3}"/>
    <cellStyle name="20% - Accent1 3 2 2 3" xfId="4924" xr:uid="{00000000-0005-0000-0000-000057000000}"/>
    <cellStyle name="20% - Accent1 3 2 2 3 2" xfId="14250" xr:uid="{9F723402-1015-4F01-BBA6-0D15186D2226}"/>
    <cellStyle name="20% - Accent1 3 2 2 3 3" xfId="22697" xr:uid="{1338A192-EB12-4B75-A8BE-300363D2268A}"/>
    <cellStyle name="20% - Accent1 3 2 2 4" xfId="9493" xr:uid="{FCEFE71D-2A04-4899-B62A-B225DBF7F0BF}"/>
    <cellStyle name="20% - Accent1 3 2 2 5" xfId="10033" xr:uid="{EE4AA271-9CD6-4C4D-A12B-37DE017F10AE}"/>
    <cellStyle name="20% - Accent1 3 2 2 6" xfId="18480" xr:uid="{EBCA8CEE-E3C4-4E1C-A6CB-082EAA2F2FDA}"/>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E120B007-AE5B-44C1-9991-AEFEE8B80207}"/>
    <cellStyle name="20% - Accent1 3 2 3 2 2 3" xfId="25255" xr:uid="{E7C52067-F3B9-4793-97B5-809F0DAC780D}"/>
    <cellStyle name="20% - Accent1 3 2 3 2 3" xfId="12591" xr:uid="{75ED7172-7CF5-4D10-A2F1-9835E1EFC751}"/>
    <cellStyle name="20% - Accent1 3 2 3 2 4" xfId="21038" xr:uid="{DDEEB52B-C936-4C9F-85BF-D7DA480313F7}"/>
    <cellStyle name="20% - Accent1 3 2 3 3" xfId="5337" xr:uid="{00000000-0005-0000-0000-00005B000000}"/>
    <cellStyle name="20% - Accent1 3 2 3 3 2" xfId="14663" xr:uid="{11E2B7A5-5568-4BA6-9D0E-B146F36DDBA9}"/>
    <cellStyle name="20% - Accent1 3 2 3 3 3" xfId="23110" xr:uid="{375A628A-6F88-4ABB-B52B-677353B0D161}"/>
    <cellStyle name="20% - Accent1 3 2 3 4" xfId="10446" xr:uid="{41794277-A196-4F11-98AA-B225762B8DF6}"/>
    <cellStyle name="20% - Accent1 3 2 3 5" xfId="18893" xr:uid="{7C956454-9EA5-48E4-BCBF-C944AF8F20F2}"/>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EC37FF93-DA07-4904-A703-94A7B34A5ABD}"/>
    <cellStyle name="20% - Accent1 3 2 4 2 2 3" xfId="25668" xr:uid="{00B2E927-ED3D-4928-8DEA-031D966CB093}"/>
    <cellStyle name="20% - Accent1 3 2 4 2 3" xfId="13004" xr:uid="{A766F98D-FEB4-4981-BB59-A7302B2A5F5B}"/>
    <cellStyle name="20% - Accent1 3 2 4 2 4" xfId="21451" xr:uid="{F6BA0102-3555-4B01-B74F-3C2A72B668A2}"/>
    <cellStyle name="20% - Accent1 3 2 4 3" xfId="5750" xr:uid="{00000000-0005-0000-0000-00005F000000}"/>
    <cellStyle name="20% - Accent1 3 2 4 3 2" xfId="15076" xr:uid="{8E693F5C-9EFC-45CC-AA50-3204D5425199}"/>
    <cellStyle name="20% - Accent1 3 2 4 3 3" xfId="23523" xr:uid="{AB5FA852-2087-4D0A-8497-2EF3E15BF77B}"/>
    <cellStyle name="20% - Accent1 3 2 4 4" xfId="10859" xr:uid="{F32E26AB-63BE-465A-BE33-2FFFD9254AC1}"/>
    <cellStyle name="20% - Accent1 3 2 4 5" xfId="19306" xr:uid="{D275B1CD-BBA3-4ADE-8723-E3F26F01351F}"/>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5C71CEFD-3EC8-45FD-990F-0FD9BE54D9EA}"/>
    <cellStyle name="20% - Accent1 3 2 5 2 2 3" xfId="26081" xr:uid="{FA265A08-A941-41E1-B0F4-F7F34AA148F1}"/>
    <cellStyle name="20% - Accent1 3 2 5 2 3" xfId="13417" xr:uid="{B0CEDF82-CD65-48BE-9924-E14228D25D48}"/>
    <cellStyle name="20% - Accent1 3 2 5 2 4" xfId="21864" xr:uid="{F8983AF0-C4D2-4DE2-8C4D-7B0E0A802A8F}"/>
    <cellStyle name="20% - Accent1 3 2 5 3" xfId="6163" xr:uid="{00000000-0005-0000-0000-000063000000}"/>
    <cellStyle name="20% - Accent1 3 2 5 3 2" xfId="15489" xr:uid="{228EF846-52E4-45E7-B6C0-3673C291DB41}"/>
    <cellStyle name="20% - Accent1 3 2 5 3 3" xfId="23936" xr:uid="{E0F6CA48-5864-48C7-9B94-0F2543E3308A}"/>
    <cellStyle name="20% - Accent1 3 2 5 4" xfId="11272" xr:uid="{CD23CB26-86C3-4C6E-AB58-968B1119E5B5}"/>
    <cellStyle name="20% - Accent1 3 2 5 5" xfId="19719" xr:uid="{5091905B-DD79-4EAB-BA6F-4112262911A3}"/>
    <cellStyle name="20% - Accent1 3 2 6" xfId="2270" xr:uid="{00000000-0005-0000-0000-000064000000}"/>
    <cellStyle name="20% - Accent1 3 2 6 2" xfId="6576" xr:uid="{00000000-0005-0000-0000-000065000000}"/>
    <cellStyle name="20% - Accent1 3 2 6 2 2" xfId="15902" xr:uid="{27982795-E6F9-4AE8-BA2F-FDD3A08EDD76}"/>
    <cellStyle name="20% - Accent1 3 2 6 2 3" xfId="24349" xr:uid="{D9CDB709-0DF4-49AF-8123-1C88159ACB3A}"/>
    <cellStyle name="20% - Accent1 3 2 6 3" xfId="11685" xr:uid="{899618D1-2379-4DA7-A4B8-6C6F48A04D4D}"/>
    <cellStyle name="20% - Accent1 3 2 6 4" xfId="20132" xr:uid="{B08C0496-8FD5-47D6-9C39-AD4EDAF8CF8C}"/>
    <cellStyle name="20% - Accent1 3 2 7" xfId="4510" xr:uid="{00000000-0005-0000-0000-000066000000}"/>
    <cellStyle name="20% - Accent1 3 2 7 2" xfId="13836" xr:uid="{38B319AF-5384-430D-8E14-BCC98CA59627}"/>
    <cellStyle name="20% - Accent1 3 2 7 3" xfId="22283" xr:uid="{2A1EEA7C-DDAE-4035-887A-9BA93CA04A6A}"/>
    <cellStyle name="20% - Accent1 3 2 8" xfId="9068" xr:uid="{354460C9-AD38-4FCD-882B-4DFB81DE5890}"/>
    <cellStyle name="20% - Accent1 3 2 9" xfId="9619" xr:uid="{F658A9CA-8617-4440-A826-E30C963F95FC}"/>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0F4C9B2C-E13E-4845-BD8D-D7B3B2C33B57}"/>
    <cellStyle name="20% - Accent1 3 3 2 2 3" xfId="24841" xr:uid="{14968835-293D-48B3-8BF3-466606AD243C}"/>
    <cellStyle name="20% - Accent1 3 3 2 3" xfId="12177" xr:uid="{96FB2A23-9F28-47E1-B3DB-604BB91FE591}"/>
    <cellStyle name="20% - Accent1 3 3 2 4" xfId="20624" xr:uid="{230D867A-00D2-4E3F-AD6C-A3149C36388D}"/>
    <cellStyle name="20% - Accent1 3 3 3" xfId="4923" xr:uid="{00000000-0005-0000-0000-00006A000000}"/>
    <cellStyle name="20% - Accent1 3 3 3 2" xfId="14249" xr:uid="{34410B95-D15F-411B-9A6C-91108FB590A9}"/>
    <cellStyle name="20% - Accent1 3 3 3 3" xfId="22696" xr:uid="{93FCB228-F52B-4AA8-B125-6603D93EA851}"/>
    <cellStyle name="20% - Accent1 3 3 4" xfId="9286" xr:uid="{B5220C4B-EBE7-4AD0-9A24-7F16FA378184}"/>
    <cellStyle name="20% - Accent1 3 3 5" xfId="10032" xr:uid="{8850304B-69EC-4BC9-A7E4-DBD818DA4B32}"/>
    <cellStyle name="20% - Accent1 3 3 6" xfId="18479" xr:uid="{CC91FC54-62F2-4AED-8C99-9A8816681C1B}"/>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4E0F7868-7FF6-4E3A-B02C-1EF236AF52BD}"/>
    <cellStyle name="20% - Accent1 3 4 2 2 3" xfId="25254" xr:uid="{9E872E90-12E6-4AED-8593-FB57F327991B}"/>
    <cellStyle name="20% - Accent1 3 4 2 3" xfId="12590" xr:uid="{5D8D5DC2-152D-440C-B315-5496E0E9220A}"/>
    <cellStyle name="20% - Accent1 3 4 2 4" xfId="21037" xr:uid="{54A066BB-851B-4F07-9540-DD270D49D400}"/>
    <cellStyle name="20% - Accent1 3 4 3" xfId="5336" xr:uid="{00000000-0005-0000-0000-00006E000000}"/>
    <cellStyle name="20% - Accent1 3 4 3 2" xfId="14662" xr:uid="{E059D69D-AAA9-4FCF-A9AB-8000566E9029}"/>
    <cellStyle name="20% - Accent1 3 4 3 3" xfId="23109" xr:uid="{53571CF5-6F05-451B-A586-C8DF8ECAEA20}"/>
    <cellStyle name="20% - Accent1 3 4 4" xfId="10445" xr:uid="{D53C4C9E-76BF-41FD-B7FC-FCD5266B8D59}"/>
    <cellStyle name="20% - Accent1 3 4 5" xfId="18892" xr:uid="{76977424-375D-460D-93DA-CD7B5E448A57}"/>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5D80ACA8-C20B-44D3-BC6A-DAAF288A621D}"/>
    <cellStyle name="20% - Accent1 3 5 2 2 3" xfId="25667" xr:uid="{C2CAAA69-A151-4E00-98D0-1E957FE0F46E}"/>
    <cellStyle name="20% - Accent1 3 5 2 3" xfId="13003" xr:uid="{BF43EE1A-A858-46E8-9269-063C2DADD244}"/>
    <cellStyle name="20% - Accent1 3 5 2 4" xfId="21450" xr:uid="{DEB8EEE9-C62E-4F7B-8A41-92F3D2DC0A53}"/>
    <cellStyle name="20% - Accent1 3 5 3" xfId="5749" xr:uid="{00000000-0005-0000-0000-000072000000}"/>
    <cellStyle name="20% - Accent1 3 5 3 2" xfId="15075" xr:uid="{2A5273BC-0F6E-465B-9E84-2CFF2B895254}"/>
    <cellStyle name="20% - Accent1 3 5 3 3" xfId="23522" xr:uid="{EABFFEB4-9166-40B0-BE95-32F2A46C3064}"/>
    <cellStyle name="20% - Accent1 3 5 4" xfId="10858" xr:uid="{C222BF1F-6C71-4597-9A68-B6A3484BA5F4}"/>
    <cellStyle name="20% - Accent1 3 5 5" xfId="19305" xr:uid="{E58FA931-1AF7-4432-ADB7-4362E9772DDB}"/>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4121F134-7867-4C42-8ABB-C0ED37AAB6FD}"/>
    <cellStyle name="20% - Accent1 3 6 2 2 3" xfId="26080" xr:uid="{A142F0D9-CFB5-4923-8C07-E0BB90F32AC1}"/>
    <cellStyle name="20% - Accent1 3 6 2 3" xfId="13416" xr:uid="{364E085D-72CD-4C59-89C8-18D26E78CE36}"/>
    <cellStyle name="20% - Accent1 3 6 2 4" xfId="21863" xr:uid="{C02DEE2B-E61F-4C1F-8732-013B2593445A}"/>
    <cellStyle name="20% - Accent1 3 6 3" xfId="6162" xr:uid="{00000000-0005-0000-0000-000076000000}"/>
    <cellStyle name="20% - Accent1 3 6 3 2" xfId="15488" xr:uid="{02661D52-DC79-4F87-B63F-87D0300F9A84}"/>
    <cellStyle name="20% - Accent1 3 6 3 3" xfId="23935" xr:uid="{8455A9F7-B472-4108-9269-6CED68576749}"/>
    <cellStyle name="20% - Accent1 3 6 4" xfId="11271" xr:uid="{BF5FB995-78A2-430A-8AAE-753320374810}"/>
    <cellStyle name="20% - Accent1 3 6 5" xfId="19718" xr:uid="{5963D2BA-533B-4E73-9F3D-118738AEE0A4}"/>
    <cellStyle name="20% - Accent1 3 7" xfId="2269" xr:uid="{00000000-0005-0000-0000-000077000000}"/>
    <cellStyle name="20% - Accent1 3 7 2" xfId="6575" xr:uid="{00000000-0005-0000-0000-000078000000}"/>
    <cellStyle name="20% - Accent1 3 7 2 2" xfId="15901" xr:uid="{E5CC4B27-6F99-4B4D-B57C-EBA2EAC02E24}"/>
    <cellStyle name="20% - Accent1 3 7 2 3" xfId="24348" xr:uid="{C38F98FD-623D-4291-8E35-9517C98FD095}"/>
    <cellStyle name="20% - Accent1 3 7 3" xfId="11684" xr:uid="{07C5F958-4C68-4A1A-BF51-76203B059DC0}"/>
    <cellStyle name="20% - Accent1 3 7 4" xfId="20131" xr:uid="{B6DC9F9B-C8B2-4455-94DA-47870401C626}"/>
    <cellStyle name="20% - Accent1 3 8" xfId="4509" xr:uid="{00000000-0005-0000-0000-000079000000}"/>
    <cellStyle name="20% - Accent1 3 8 2" xfId="13835" xr:uid="{F7394514-8864-4CFF-8A5A-CDD29E0A09B0}"/>
    <cellStyle name="20% - Accent1 3 8 3" xfId="22282" xr:uid="{EAA686DD-74AD-48F1-A04F-E41038417A11}"/>
    <cellStyle name="20% - Accent1 3 9" xfId="8861" xr:uid="{C1B75176-75E3-4E31-86A7-851E7FD67A9E}"/>
    <cellStyle name="20% - Accent1 4" xfId="8" xr:uid="{00000000-0005-0000-0000-00007A000000}"/>
    <cellStyle name="20% - Accent1 4 10" xfId="18067" xr:uid="{407B8DAF-7D4B-4650-9705-8234733C255F}"/>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355571BD-D9A9-424B-88BD-99862679A6BC}"/>
    <cellStyle name="20% - Accent1 4 2 2 2 3" xfId="24843" xr:uid="{4325DF31-BA8D-47DB-AB32-739E7E54465C}"/>
    <cellStyle name="20% - Accent1 4 2 2 3" xfId="12179" xr:uid="{34AA49F9-65B2-416E-A30B-6D25E4304696}"/>
    <cellStyle name="20% - Accent1 4 2 2 4" xfId="20626" xr:uid="{C67FD096-90CA-49E6-9871-05E45A7C8F9E}"/>
    <cellStyle name="20% - Accent1 4 2 3" xfId="4925" xr:uid="{00000000-0005-0000-0000-00007E000000}"/>
    <cellStyle name="20% - Accent1 4 2 3 2" xfId="14251" xr:uid="{29ABF429-9A18-45E7-8216-3EE6FBFD7C4F}"/>
    <cellStyle name="20% - Accent1 4 2 3 3" xfId="22698" xr:uid="{E62B3E05-E46C-40B6-877B-D9163B9B0F24}"/>
    <cellStyle name="20% - Accent1 4 2 4" xfId="9372" xr:uid="{E6B08341-6F7D-4580-9BCF-4BFC252FAE31}"/>
    <cellStyle name="20% - Accent1 4 2 5" xfId="10034" xr:uid="{2D94CB0A-8AD9-4342-BAD5-9E10DF8C7FAF}"/>
    <cellStyle name="20% - Accent1 4 2 6" xfId="18481" xr:uid="{3B3B3FC5-E1DF-4CB2-9AE1-95C81A39A30D}"/>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5831E26E-6B70-4065-83F2-6E2A6FDCBF0F}"/>
    <cellStyle name="20% - Accent1 4 3 2 2 3" xfId="25256" xr:uid="{FD6206D2-3E14-4F68-9E43-ED17D5A9C2D6}"/>
    <cellStyle name="20% - Accent1 4 3 2 3" xfId="12592" xr:uid="{56DFA3AB-63F1-45A6-855B-A3C334F6109C}"/>
    <cellStyle name="20% - Accent1 4 3 2 4" xfId="21039" xr:uid="{EAD201D2-A126-4DFD-942D-EC2CEA4FDFFF}"/>
    <cellStyle name="20% - Accent1 4 3 3" xfId="5338" xr:uid="{00000000-0005-0000-0000-000082000000}"/>
    <cellStyle name="20% - Accent1 4 3 3 2" xfId="14664" xr:uid="{04B698B2-1271-4F66-BD4E-849046814913}"/>
    <cellStyle name="20% - Accent1 4 3 3 3" xfId="23111" xr:uid="{512DE835-D50A-4B90-AAF6-421677AD1F3B}"/>
    <cellStyle name="20% - Accent1 4 3 4" xfId="10447" xr:uid="{99565DED-B70B-4A35-81E9-E710052DEDEB}"/>
    <cellStyle name="20% - Accent1 4 3 5" xfId="18894" xr:uid="{63D731EC-A9B8-4177-819C-F9B29AECF7EE}"/>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8471A8E8-8DCC-4EC4-93FC-49AD834B5A14}"/>
    <cellStyle name="20% - Accent1 4 4 2 2 3" xfId="25669" xr:uid="{B81969C5-A1B0-495F-A201-E46FD552D694}"/>
    <cellStyle name="20% - Accent1 4 4 2 3" xfId="13005" xr:uid="{172E19D3-A93B-43EE-849A-95BC6A6A86A3}"/>
    <cellStyle name="20% - Accent1 4 4 2 4" xfId="21452" xr:uid="{26D9907F-5C43-4452-9C0E-AA726CE8DC01}"/>
    <cellStyle name="20% - Accent1 4 4 3" xfId="5751" xr:uid="{00000000-0005-0000-0000-000086000000}"/>
    <cellStyle name="20% - Accent1 4 4 3 2" xfId="15077" xr:uid="{5914F2ED-4E2E-4953-BD1B-AD95FF613AE1}"/>
    <cellStyle name="20% - Accent1 4 4 3 3" xfId="23524" xr:uid="{C9BEAB8D-722B-46EC-8F26-EBC4CBBB7E0D}"/>
    <cellStyle name="20% - Accent1 4 4 4" xfId="10860" xr:uid="{66253BEB-3F2F-48F7-979E-86578E88D949}"/>
    <cellStyle name="20% - Accent1 4 4 5" xfId="19307" xr:uid="{DA4B1996-4C38-42FF-9A35-8CDBF1A8B4AD}"/>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5F5272A9-AFDF-4D9B-9B99-C433F69F802C}"/>
    <cellStyle name="20% - Accent1 4 5 2 2 3" xfId="26082" xr:uid="{BEE8F3AC-13B0-4688-921D-E2E3E0A90AB8}"/>
    <cellStyle name="20% - Accent1 4 5 2 3" xfId="13418" xr:uid="{84B775EB-C365-40F6-A029-379A8C638DD9}"/>
    <cellStyle name="20% - Accent1 4 5 2 4" xfId="21865" xr:uid="{F4FA8E57-054D-45F4-9A59-DE8B37502993}"/>
    <cellStyle name="20% - Accent1 4 5 3" xfId="6164" xr:uid="{00000000-0005-0000-0000-00008A000000}"/>
    <cellStyle name="20% - Accent1 4 5 3 2" xfId="15490" xr:uid="{BDF7061F-9D2D-4C66-A61C-1C717E9D7A47}"/>
    <cellStyle name="20% - Accent1 4 5 3 3" xfId="23937" xr:uid="{B4DA100A-B93C-4562-8290-C526AEA0C666}"/>
    <cellStyle name="20% - Accent1 4 5 4" xfId="11273" xr:uid="{3CA1B92F-1E7E-48B9-A7CA-6BD9A04A41B4}"/>
    <cellStyle name="20% - Accent1 4 5 5" xfId="19720" xr:uid="{9EF2D1F5-8BBC-44E1-BD1A-6C5FC5F1E8D9}"/>
    <cellStyle name="20% - Accent1 4 6" xfId="2271" xr:uid="{00000000-0005-0000-0000-00008B000000}"/>
    <cellStyle name="20% - Accent1 4 6 2" xfId="6577" xr:uid="{00000000-0005-0000-0000-00008C000000}"/>
    <cellStyle name="20% - Accent1 4 6 2 2" xfId="15903" xr:uid="{1E9064ED-83C1-41AD-9E55-F2AEAE258E26}"/>
    <cellStyle name="20% - Accent1 4 6 2 3" xfId="24350" xr:uid="{A2EB5A4A-28B2-4C20-B31A-D2285EAA8FC4}"/>
    <cellStyle name="20% - Accent1 4 6 3" xfId="11686" xr:uid="{99D877FE-C435-4F8B-A35C-4E25678AA466}"/>
    <cellStyle name="20% - Accent1 4 6 4" xfId="20133" xr:uid="{19E5A4D1-D073-4857-8E03-F1D55035DE97}"/>
    <cellStyle name="20% - Accent1 4 7" xfId="4511" xr:uid="{00000000-0005-0000-0000-00008D000000}"/>
    <cellStyle name="20% - Accent1 4 7 2" xfId="13837" xr:uid="{4A5E5F2A-B86E-408D-A6B2-4B276EAB8FF5}"/>
    <cellStyle name="20% - Accent1 4 7 3" xfId="22284" xr:uid="{2F37182E-3A17-4328-B85E-F48193DC67AD}"/>
    <cellStyle name="20% - Accent1 4 8" xfId="8947" xr:uid="{1FCDBFE2-CC86-42DD-AD9B-D3EAF476002E}"/>
    <cellStyle name="20% - Accent1 4 9" xfId="9620" xr:uid="{B04B1858-2E88-4E65-8520-B0F8891FD5D9}"/>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BBAA61BC-7FB8-45CD-B29D-BEBF9827A835}"/>
    <cellStyle name="20% - Accent1 5 2 2 3" xfId="24836" xr:uid="{DA2C7D3C-33EF-4BFB-8999-AF4074C7DD0C}"/>
    <cellStyle name="20% - Accent1 5 2 3" xfId="12172" xr:uid="{48C0196B-C3C5-4CD9-AABB-DB82B71C3028}"/>
    <cellStyle name="20% - Accent1 5 2 4" xfId="20619" xr:uid="{D48BA19F-8252-482F-8E26-1D5ABBF6D3E4}"/>
    <cellStyle name="20% - Accent1 5 3" xfId="4918" xr:uid="{00000000-0005-0000-0000-000091000000}"/>
    <cellStyle name="20% - Accent1 5 3 2" xfId="14244" xr:uid="{E83F137C-18CC-429D-9CFC-4BBE111B7F05}"/>
    <cellStyle name="20% - Accent1 5 3 3" xfId="22691" xr:uid="{D80064C9-3973-4FC8-8F0B-85FAA5D620D0}"/>
    <cellStyle name="20% - Accent1 5 4" xfId="9180" xr:uid="{D0AEF57E-25E3-47C5-B910-DC1A0019F498}"/>
    <cellStyle name="20% - Accent1 5 5" xfId="10027" xr:uid="{63719D0C-BA39-4A63-8281-5BDE91B8A8C2}"/>
    <cellStyle name="20% - Accent1 5 6" xfId="18474" xr:uid="{B8E6FE12-8073-4420-B434-7126417B48A4}"/>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3CA3C955-F33D-4265-A474-1C0A7EE65640}"/>
    <cellStyle name="20% - Accent1 6 2 2 3" xfId="25249" xr:uid="{0DD18D9D-5C32-40FD-9159-E6DEAEAF9F4A}"/>
    <cellStyle name="20% - Accent1 6 2 3" xfId="12585" xr:uid="{43FB5031-D318-40A9-870A-E91751A60CEE}"/>
    <cellStyle name="20% - Accent1 6 2 4" xfId="21032" xr:uid="{BBDBB487-C3C0-4A37-995F-34066EB4FD7D}"/>
    <cellStyle name="20% - Accent1 6 3" xfId="5331" xr:uid="{00000000-0005-0000-0000-000095000000}"/>
    <cellStyle name="20% - Accent1 6 3 2" xfId="14657" xr:uid="{FEBB59ED-285B-4BD9-B2FB-B62BB3DD0791}"/>
    <cellStyle name="20% - Accent1 6 3 3" xfId="23104" xr:uid="{63DE3F6D-174B-4349-82BA-44C371F755DC}"/>
    <cellStyle name="20% - Accent1 6 4" xfId="10440" xr:uid="{FCA7BC66-0A53-48C4-8E93-6615C00796FA}"/>
    <cellStyle name="20% - Accent1 6 5" xfId="18887" xr:uid="{15871261-2D1C-405F-B9CD-8B0D467E8264}"/>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B11E8B81-05A8-4D00-9CEF-0AA194595F45}"/>
    <cellStyle name="20% - Accent1 7 2 2 3" xfId="25662" xr:uid="{86AF3DA9-5521-4E9A-A7C4-55471205804B}"/>
    <cellStyle name="20% - Accent1 7 2 3" xfId="12998" xr:uid="{360D3CB4-AD3E-492A-976F-ED848D9BB773}"/>
    <cellStyle name="20% - Accent1 7 2 4" xfId="21445" xr:uid="{0C3582BC-39D2-45B4-89C1-5D8DAEC50556}"/>
    <cellStyle name="20% - Accent1 7 3" xfId="5744" xr:uid="{00000000-0005-0000-0000-000099000000}"/>
    <cellStyle name="20% - Accent1 7 3 2" xfId="15070" xr:uid="{F44DBEDA-38B6-4172-828F-B83CF4698A54}"/>
    <cellStyle name="20% - Accent1 7 3 3" xfId="23517" xr:uid="{7D814F78-C66A-46BC-8BC7-CFA538B4100B}"/>
    <cellStyle name="20% - Accent1 7 4" xfId="10853" xr:uid="{4D83E182-29D2-413C-BDC5-3B6834B01EBF}"/>
    <cellStyle name="20% - Accent1 7 5" xfId="19300" xr:uid="{F3CB600B-8D1C-412C-88C8-60AB6D66DC5C}"/>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478EB911-1006-4040-97B9-B6940CD3747F}"/>
    <cellStyle name="20% - Accent1 8 2 2 3" xfId="26075" xr:uid="{476B8E26-3CEE-4379-A0B9-2E82022E4F7C}"/>
    <cellStyle name="20% - Accent1 8 2 3" xfId="13411" xr:uid="{457BD93F-474E-4104-8082-9585A637F204}"/>
    <cellStyle name="20% - Accent1 8 2 4" xfId="21858" xr:uid="{5791128A-2BC5-4639-9EA5-69F43FD41C9A}"/>
    <cellStyle name="20% - Accent1 8 3" xfId="6157" xr:uid="{00000000-0005-0000-0000-00009D000000}"/>
    <cellStyle name="20% - Accent1 8 3 2" xfId="15483" xr:uid="{8A6EFB1B-11A4-4F1F-BD1E-E942A434C3AB}"/>
    <cellStyle name="20% - Accent1 8 3 3" xfId="23930" xr:uid="{CF55D090-9690-453D-A4A2-290FFA2C7DD5}"/>
    <cellStyle name="20% - Accent1 8 4" xfId="11266" xr:uid="{15B2A69C-FE2F-4E4A-88C9-DAA9C5AF427D}"/>
    <cellStyle name="20% - Accent1 8 5" xfId="19713" xr:uid="{A6EDF4F2-C10B-4C38-9CBF-7A1AFF3B43BF}"/>
    <cellStyle name="20% - Accent1 9" xfId="2264" xr:uid="{00000000-0005-0000-0000-00009E000000}"/>
    <cellStyle name="20% - Accent1 9 2" xfId="6570" xr:uid="{00000000-0005-0000-0000-00009F000000}"/>
    <cellStyle name="20% - Accent1 9 2 2" xfId="15896" xr:uid="{7BA255AD-B086-4118-8B67-35D77D41D892}"/>
    <cellStyle name="20% - Accent1 9 2 3" xfId="24343" xr:uid="{E9DE25FF-C961-4D64-964F-FF3672655C1C}"/>
    <cellStyle name="20% - Accent1 9 3" xfId="11679" xr:uid="{A2DF492D-DD2B-44DF-994D-6E02A1AD7CE5}"/>
    <cellStyle name="20% - Accent1 9 4" xfId="20126" xr:uid="{D19621F1-3106-42AE-8A92-97CD7BE7A609}"/>
    <cellStyle name="20% - Accent2" xfId="9" builtinId="34" customBuiltin="1"/>
    <cellStyle name="20% - Accent2 10" xfId="4512" xr:uid="{00000000-0005-0000-0000-0000A1000000}"/>
    <cellStyle name="20% - Accent2 10 2" xfId="13838" xr:uid="{100937F7-2192-4648-97B4-FE2C7F46A426}"/>
    <cellStyle name="20% - Accent2 10 3" xfId="22285" xr:uid="{01B66063-4A9B-4638-B1BC-54BBCA2F7CA9}"/>
    <cellStyle name="20% - Accent2 11" xfId="8760" xr:uid="{2F9D8AF1-C115-467C-ADFB-3BF13039D076}"/>
    <cellStyle name="20% - Accent2 12" xfId="9621" xr:uid="{3DABC7DA-112C-4A70-8733-CE3C491B9B3D}"/>
    <cellStyle name="20% - Accent2 13" xfId="18068" xr:uid="{96E0EC26-4BEA-4DA9-931A-7E065DFC3FC0}"/>
    <cellStyle name="20% - Accent2 2" xfId="10" xr:uid="{00000000-0005-0000-0000-0000A2000000}"/>
    <cellStyle name="20% - Accent2 2 10" xfId="8793" xr:uid="{AA7C3473-3A75-4F75-9E25-D7658C57F3A0}"/>
    <cellStyle name="20% - Accent2 2 11" xfId="9622" xr:uid="{49040CCB-3A5E-4EBB-B45C-076101C952E1}"/>
    <cellStyle name="20% - Accent2 2 12" xfId="18069" xr:uid="{8FBDC196-8131-4AE1-BE27-007ABADE031D}"/>
    <cellStyle name="20% - Accent2 2 2" xfId="11" xr:uid="{00000000-0005-0000-0000-0000A3000000}"/>
    <cellStyle name="20% - Accent2 2 2 10" xfId="9623" xr:uid="{E88B428C-B3FA-4787-841F-F3644B63F33D}"/>
    <cellStyle name="20% - Accent2 2 2 11" xfId="18070" xr:uid="{52FFE592-A884-423F-8A80-4A7A4784753B}"/>
    <cellStyle name="20% - Accent2 2 2 2" xfId="12" xr:uid="{00000000-0005-0000-0000-0000A4000000}"/>
    <cellStyle name="20% - Accent2 2 2 2 10" xfId="18071" xr:uid="{63EB9E1A-A796-4DA4-8A6B-2852C12D4839}"/>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267D0161-8874-4DC3-9F1C-981221C6AE32}"/>
    <cellStyle name="20% - Accent2 2 2 2 2 2 2 3" xfId="24847" xr:uid="{CE2E29D3-322E-4829-A8DA-AEA1B82F39B1}"/>
    <cellStyle name="20% - Accent2 2 2 2 2 2 3" xfId="12183" xr:uid="{80D90EB0-C275-43E7-BF15-056C4AC9E2A7}"/>
    <cellStyle name="20% - Accent2 2 2 2 2 2 4" xfId="20630" xr:uid="{B48D3B2E-FD53-439F-BA62-343E8CC61AB6}"/>
    <cellStyle name="20% - Accent2 2 2 2 2 3" xfId="4929" xr:uid="{00000000-0005-0000-0000-0000A8000000}"/>
    <cellStyle name="20% - Accent2 2 2 2 2 3 2" xfId="14255" xr:uid="{CC2FB13B-E430-4554-A6C1-91C49694EEC3}"/>
    <cellStyle name="20% - Accent2 2 2 2 2 3 3" xfId="22702" xr:uid="{C5B3C43D-A4B9-4CA6-93A2-42D1604BFE81}"/>
    <cellStyle name="20% - Accent2 2 2 2 2 4" xfId="9528" xr:uid="{C8BEA541-FD8B-4449-95AA-43E1904F35BB}"/>
    <cellStyle name="20% - Accent2 2 2 2 2 5" xfId="10038" xr:uid="{176E08E7-C03B-4066-89B8-681E8F014F18}"/>
    <cellStyle name="20% - Accent2 2 2 2 2 6" xfId="18485" xr:uid="{DFDC2EA8-F16D-49A2-8CDA-196D170796ED}"/>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DDA3C5F7-10CB-4350-B613-0AD6AE1720F6}"/>
    <cellStyle name="20% - Accent2 2 2 2 3 2 2 3" xfId="25260" xr:uid="{78B05501-7447-462F-B1DA-E3BCC5898BDF}"/>
    <cellStyle name="20% - Accent2 2 2 2 3 2 3" xfId="12596" xr:uid="{0711E623-420B-48AF-9E96-ADF5E679DA60}"/>
    <cellStyle name="20% - Accent2 2 2 2 3 2 4" xfId="21043" xr:uid="{F0B8062D-1827-406D-8EC2-DC929DFB2DD0}"/>
    <cellStyle name="20% - Accent2 2 2 2 3 3" xfId="5342" xr:uid="{00000000-0005-0000-0000-0000AC000000}"/>
    <cellStyle name="20% - Accent2 2 2 2 3 3 2" xfId="14668" xr:uid="{2F0B7863-5504-42C0-A365-87942EC28217}"/>
    <cellStyle name="20% - Accent2 2 2 2 3 3 3" xfId="23115" xr:uid="{DE15A3B2-9FCA-4108-B42D-9833C8D1EAB9}"/>
    <cellStyle name="20% - Accent2 2 2 2 3 4" xfId="10451" xr:uid="{6394F90F-D0E4-42FD-B84D-BEB191A00AA8}"/>
    <cellStyle name="20% - Accent2 2 2 2 3 5" xfId="18898" xr:uid="{8994550D-7A08-4CC5-9ADF-B05C53D5CF1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F775DD58-4A9E-4CF8-98BE-25A6BB1853FD}"/>
    <cellStyle name="20% - Accent2 2 2 2 4 2 2 3" xfId="25673" xr:uid="{8FE17ECE-308B-47F5-82A7-662D8E21BCF4}"/>
    <cellStyle name="20% - Accent2 2 2 2 4 2 3" xfId="13009" xr:uid="{587F00EC-4A84-4D15-87CF-3908BB9992C6}"/>
    <cellStyle name="20% - Accent2 2 2 2 4 2 4" xfId="21456" xr:uid="{57C7CE76-E551-4A86-BFFB-CE81056CEAEB}"/>
    <cellStyle name="20% - Accent2 2 2 2 4 3" xfId="5755" xr:uid="{00000000-0005-0000-0000-0000B0000000}"/>
    <cellStyle name="20% - Accent2 2 2 2 4 3 2" xfId="15081" xr:uid="{FFD496BD-C473-4659-A861-E93BCF23046E}"/>
    <cellStyle name="20% - Accent2 2 2 2 4 3 3" xfId="23528" xr:uid="{1974A2F4-826F-46D9-927A-8CD3553EE9A8}"/>
    <cellStyle name="20% - Accent2 2 2 2 4 4" xfId="10864" xr:uid="{32E716F7-B3D9-4CB2-97C2-F375EE0D3AF8}"/>
    <cellStyle name="20% - Accent2 2 2 2 4 5" xfId="19311" xr:uid="{1C14585C-B442-4058-A0DA-DF88A659031F}"/>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C4DD3272-2556-42A5-95A5-E400CF23AABC}"/>
    <cellStyle name="20% - Accent2 2 2 2 5 2 2 3" xfId="26086" xr:uid="{F603428D-2069-443F-9FE2-58BACEC2F5BC}"/>
    <cellStyle name="20% - Accent2 2 2 2 5 2 3" xfId="13422" xr:uid="{AAA6CF18-A78E-47EA-B633-2D7AA73BDD39}"/>
    <cellStyle name="20% - Accent2 2 2 2 5 2 4" xfId="21869" xr:uid="{60AE8C38-6389-4BF5-908A-77B83D0F0F4B}"/>
    <cellStyle name="20% - Accent2 2 2 2 5 3" xfId="6168" xr:uid="{00000000-0005-0000-0000-0000B4000000}"/>
    <cellStyle name="20% - Accent2 2 2 2 5 3 2" xfId="15494" xr:uid="{20A226E3-CF1F-4EE4-8B02-C757F80E8CEE}"/>
    <cellStyle name="20% - Accent2 2 2 2 5 3 3" xfId="23941" xr:uid="{82C2D58F-FD11-4926-8918-4D289DFB30AB}"/>
    <cellStyle name="20% - Accent2 2 2 2 5 4" xfId="11277" xr:uid="{A2ABF582-F3F2-4568-BD53-387A124FB658}"/>
    <cellStyle name="20% - Accent2 2 2 2 5 5" xfId="19724" xr:uid="{F908232F-C518-40EB-8649-6EB0761A45E8}"/>
    <cellStyle name="20% - Accent2 2 2 2 6" xfId="2275" xr:uid="{00000000-0005-0000-0000-0000B5000000}"/>
    <cellStyle name="20% - Accent2 2 2 2 6 2" xfId="6581" xr:uid="{00000000-0005-0000-0000-0000B6000000}"/>
    <cellStyle name="20% - Accent2 2 2 2 6 2 2" xfId="15907" xr:uid="{60331A9F-7BA4-4B1C-9EC1-F29ED0F5A1E1}"/>
    <cellStyle name="20% - Accent2 2 2 2 6 2 3" xfId="24354" xr:uid="{3886691A-050B-4BD1-9E15-F559C211EDD3}"/>
    <cellStyle name="20% - Accent2 2 2 2 6 3" xfId="11690" xr:uid="{93C13516-EF29-4E07-A2E7-F740352801D4}"/>
    <cellStyle name="20% - Accent2 2 2 2 6 4" xfId="20137" xr:uid="{71CB9BDD-350D-4F47-B369-D91BCE3E51A2}"/>
    <cellStyle name="20% - Accent2 2 2 2 7" xfId="4515" xr:uid="{00000000-0005-0000-0000-0000B7000000}"/>
    <cellStyle name="20% - Accent2 2 2 2 7 2" xfId="13841" xr:uid="{BDD118B7-F17A-414D-B716-7D7A8CE164CD}"/>
    <cellStyle name="20% - Accent2 2 2 2 7 3" xfId="22288" xr:uid="{54B6F36D-F738-4FBC-B97F-D1EA64C7CF4D}"/>
    <cellStyle name="20% - Accent2 2 2 2 8" xfId="9103" xr:uid="{91DB80A1-3464-4086-B948-71B6A26537C4}"/>
    <cellStyle name="20% - Accent2 2 2 2 9" xfId="9624" xr:uid="{0CA3F534-92D4-4A1E-9A72-B930ED9E9AC4}"/>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0C2A3FA5-55B5-4EE5-AEF1-47708C3C9E58}"/>
    <cellStyle name="20% - Accent2 2 2 3 2 2 3" xfId="24846" xr:uid="{4699AB86-B014-4BBD-B449-65CE0FC9E319}"/>
    <cellStyle name="20% - Accent2 2 2 3 2 3" xfId="12182" xr:uid="{6196FFDB-A65C-437B-80D7-5825F73A7BD9}"/>
    <cellStyle name="20% - Accent2 2 2 3 2 4" xfId="20629" xr:uid="{BD204770-75A3-48EF-964A-135A2C21BD3C}"/>
    <cellStyle name="20% - Accent2 2 2 3 3" xfId="4928" xr:uid="{00000000-0005-0000-0000-0000BB000000}"/>
    <cellStyle name="20% - Accent2 2 2 3 3 2" xfId="14254" xr:uid="{D2AF69EE-1E87-480F-9C95-41007A1AB496}"/>
    <cellStyle name="20% - Accent2 2 2 3 3 3" xfId="22701" xr:uid="{846B6F6E-F4CA-42E7-9320-8B3CD2269016}"/>
    <cellStyle name="20% - Accent2 2 2 3 4" xfId="9321" xr:uid="{32B21C3A-E360-4F19-B469-1116F045A0F3}"/>
    <cellStyle name="20% - Accent2 2 2 3 5" xfId="10037" xr:uid="{DE582782-7384-4A1B-A6EC-EC59C3209E4E}"/>
    <cellStyle name="20% - Accent2 2 2 3 6" xfId="18484" xr:uid="{284BB75E-13A6-4F1C-9DD0-B7554B141AAD}"/>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A3AFFDD1-253C-404D-A845-4B3686870D70}"/>
    <cellStyle name="20% - Accent2 2 2 4 2 2 3" xfId="25259" xr:uid="{042B2465-9DF5-46BE-BA7E-F53F97FF22D9}"/>
    <cellStyle name="20% - Accent2 2 2 4 2 3" xfId="12595" xr:uid="{89175C0D-B03A-4E0F-911E-A1EE596AEFE7}"/>
    <cellStyle name="20% - Accent2 2 2 4 2 4" xfId="21042" xr:uid="{3FB27DE5-DD4B-42D8-864C-B36AD7E6EEB5}"/>
    <cellStyle name="20% - Accent2 2 2 4 3" xfId="5341" xr:uid="{00000000-0005-0000-0000-0000BF000000}"/>
    <cellStyle name="20% - Accent2 2 2 4 3 2" xfId="14667" xr:uid="{4322A891-9331-4E4D-AA4A-D38C61287B99}"/>
    <cellStyle name="20% - Accent2 2 2 4 3 3" xfId="23114" xr:uid="{71C964FB-16C8-49D4-9B87-F356B51E36B2}"/>
    <cellStyle name="20% - Accent2 2 2 4 4" xfId="10450" xr:uid="{193FB9AD-3527-4068-AC81-1F92BE46F5D5}"/>
    <cellStyle name="20% - Accent2 2 2 4 5" xfId="18897" xr:uid="{E85BDFF7-6FD1-49A9-97F0-16C20DBE1040}"/>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26FBC891-341E-4AB1-A899-12E4740E8237}"/>
    <cellStyle name="20% - Accent2 2 2 5 2 2 3" xfId="25672" xr:uid="{A735DD6E-B138-40BF-AA55-6F7F63B529BB}"/>
    <cellStyle name="20% - Accent2 2 2 5 2 3" xfId="13008" xr:uid="{4FF06745-32CC-46D9-AA75-8C7C4D2FB721}"/>
    <cellStyle name="20% - Accent2 2 2 5 2 4" xfId="21455" xr:uid="{00F84EDE-9381-4019-A527-EF1C31C7AA7B}"/>
    <cellStyle name="20% - Accent2 2 2 5 3" xfId="5754" xr:uid="{00000000-0005-0000-0000-0000C3000000}"/>
    <cellStyle name="20% - Accent2 2 2 5 3 2" xfId="15080" xr:uid="{A748A2E9-E69D-413F-AD99-BD7CB7DB13FD}"/>
    <cellStyle name="20% - Accent2 2 2 5 3 3" xfId="23527" xr:uid="{97F1F74C-7D96-4D6C-9A6D-1D0237F9E436}"/>
    <cellStyle name="20% - Accent2 2 2 5 4" xfId="10863" xr:uid="{65E56FBF-AC22-41F5-8FAE-280B6FB0CBAA}"/>
    <cellStyle name="20% - Accent2 2 2 5 5" xfId="19310" xr:uid="{93353F50-75D8-4301-B1DB-18030C0991C3}"/>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16F8F9D3-AC75-4512-962E-C1953BD4CDC3}"/>
    <cellStyle name="20% - Accent2 2 2 6 2 2 3" xfId="26085" xr:uid="{CC917F9B-B651-4C4F-A9A6-FC6B4EF8EA70}"/>
    <cellStyle name="20% - Accent2 2 2 6 2 3" xfId="13421" xr:uid="{0F5B4F0B-AAFA-4D23-AFA8-AA83E1866A6A}"/>
    <cellStyle name="20% - Accent2 2 2 6 2 4" xfId="21868" xr:uid="{2CF2C4DF-FE88-48A2-82DF-E2992B9D9A33}"/>
    <cellStyle name="20% - Accent2 2 2 6 3" xfId="6167" xr:uid="{00000000-0005-0000-0000-0000C7000000}"/>
    <cellStyle name="20% - Accent2 2 2 6 3 2" xfId="15493" xr:uid="{61EFE000-D147-43FD-AE23-50B725459111}"/>
    <cellStyle name="20% - Accent2 2 2 6 3 3" xfId="23940" xr:uid="{210381AE-A4F8-41BB-8D25-D27AD4DFC25D}"/>
    <cellStyle name="20% - Accent2 2 2 6 4" xfId="11276" xr:uid="{970007FA-E641-4366-90C8-397A83B01099}"/>
    <cellStyle name="20% - Accent2 2 2 6 5" xfId="19723" xr:uid="{29979A38-7F5F-488E-87AE-3D6626A0FB02}"/>
    <cellStyle name="20% - Accent2 2 2 7" xfId="2274" xr:uid="{00000000-0005-0000-0000-0000C8000000}"/>
    <cellStyle name="20% - Accent2 2 2 7 2" xfId="6580" xr:uid="{00000000-0005-0000-0000-0000C9000000}"/>
    <cellStyle name="20% - Accent2 2 2 7 2 2" xfId="15906" xr:uid="{8854E89B-0C80-43E2-A267-D0FC8B054A2F}"/>
    <cellStyle name="20% - Accent2 2 2 7 2 3" xfId="24353" xr:uid="{8FA56E32-0B99-49DD-9DA8-1B6C830C2A2B}"/>
    <cellStyle name="20% - Accent2 2 2 7 3" xfId="11689" xr:uid="{4F8F0043-B397-4FE1-982F-537CBF4D7DFD}"/>
    <cellStyle name="20% - Accent2 2 2 7 4" xfId="20136" xr:uid="{53C23123-AA52-43DA-83D1-1FBF7768D83E}"/>
    <cellStyle name="20% - Accent2 2 2 8" xfId="4514" xr:uid="{00000000-0005-0000-0000-0000CA000000}"/>
    <cellStyle name="20% - Accent2 2 2 8 2" xfId="13840" xr:uid="{6DE1CA08-07AA-486B-845E-3A786CBBA3AD}"/>
    <cellStyle name="20% - Accent2 2 2 8 3" xfId="22287" xr:uid="{11160115-828A-4C7B-9990-131A582E6EC2}"/>
    <cellStyle name="20% - Accent2 2 2 9" xfId="8896" xr:uid="{7CDAA0F1-5BE6-4749-AD4D-5424E0EA26D8}"/>
    <cellStyle name="20% - Accent2 2 3" xfId="13" xr:uid="{00000000-0005-0000-0000-0000CB000000}"/>
    <cellStyle name="20% - Accent2 2 3 10" xfId="18072" xr:uid="{8811CE19-4386-46C8-AD99-C51482675311}"/>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B56B01AA-F54F-4849-A785-3A44C256B968}"/>
    <cellStyle name="20% - Accent2 2 3 2 2 2 3" xfId="24848" xr:uid="{661EFE05-EB64-45B7-BFCB-CFB7CD9FBA22}"/>
    <cellStyle name="20% - Accent2 2 3 2 2 3" xfId="12184" xr:uid="{CAAB8261-D8A5-4E54-B75D-70000A924B0B}"/>
    <cellStyle name="20% - Accent2 2 3 2 2 4" xfId="20631" xr:uid="{FD15E47E-5125-4C3C-83EA-AD5B3426C748}"/>
    <cellStyle name="20% - Accent2 2 3 2 3" xfId="4930" xr:uid="{00000000-0005-0000-0000-0000CF000000}"/>
    <cellStyle name="20% - Accent2 2 3 2 3 2" xfId="14256" xr:uid="{612AEF95-D063-4E4C-8A98-94EF6F47FA28}"/>
    <cellStyle name="20% - Accent2 2 3 2 3 3" xfId="22703" xr:uid="{B4A67B90-0CB0-43D8-A65F-15F61FEE3EB2}"/>
    <cellStyle name="20% - Accent2 2 3 2 4" xfId="9425" xr:uid="{35BECFF4-0F5A-4F6E-AE6E-354891135B4F}"/>
    <cellStyle name="20% - Accent2 2 3 2 5" xfId="10039" xr:uid="{C6A81F13-E710-4C14-AFBF-3DC52B61059D}"/>
    <cellStyle name="20% - Accent2 2 3 2 6" xfId="18486" xr:uid="{1CA63DB7-8AB9-4768-B4A0-FA195AD28FF8}"/>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8730FD00-1766-4B81-B336-05D8DE1C10DF}"/>
    <cellStyle name="20% - Accent2 2 3 3 2 2 3" xfId="25261" xr:uid="{50CCFE2A-5CA3-4F25-8CA1-644F6AD1CF04}"/>
    <cellStyle name="20% - Accent2 2 3 3 2 3" xfId="12597" xr:uid="{F35FA330-ACD0-4EE9-8625-129C7FCEE650}"/>
    <cellStyle name="20% - Accent2 2 3 3 2 4" xfId="21044" xr:uid="{1D4A11E9-0E40-44FD-AC29-F0BF044C3BB5}"/>
    <cellStyle name="20% - Accent2 2 3 3 3" xfId="5343" xr:uid="{00000000-0005-0000-0000-0000D3000000}"/>
    <cellStyle name="20% - Accent2 2 3 3 3 2" xfId="14669" xr:uid="{297C9114-CD94-4DDF-85B7-C5D1F3650DFC}"/>
    <cellStyle name="20% - Accent2 2 3 3 3 3" xfId="23116" xr:uid="{7BEBA485-F1AE-48BB-B937-E3A0ACEF8D34}"/>
    <cellStyle name="20% - Accent2 2 3 3 4" xfId="10452" xr:uid="{01DA9BA0-3CED-49F3-AC5D-9B27B02B4A2B}"/>
    <cellStyle name="20% - Accent2 2 3 3 5" xfId="18899" xr:uid="{1E499165-F34C-4E1C-AF35-E397595D842C}"/>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4FC78894-6662-4847-9E67-0FAFBA63841C}"/>
    <cellStyle name="20% - Accent2 2 3 4 2 2 3" xfId="25674" xr:uid="{D719A374-862F-43A0-9295-0C6310B33822}"/>
    <cellStyle name="20% - Accent2 2 3 4 2 3" xfId="13010" xr:uid="{9BC4F2A1-8B72-470F-8163-E4E32105DFBC}"/>
    <cellStyle name="20% - Accent2 2 3 4 2 4" xfId="21457" xr:uid="{40A6AA1A-1F9B-4742-855B-C11182EB49A5}"/>
    <cellStyle name="20% - Accent2 2 3 4 3" xfId="5756" xr:uid="{00000000-0005-0000-0000-0000D7000000}"/>
    <cellStyle name="20% - Accent2 2 3 4 3 2" xfId="15082" xr:uid="{AF37A63F-F569-4F79-8FCA-F065E9317A57}"/>
    <cellStyle name="20% - Accent2 2 3 4 3 3" xfId="23529" xr:uid="{AD242876-C9BC-480E-A3A0-1A0A1A2AEE0C}"/>
    <cellStyle name="20% - Accent2 2 3 4 4" xfId="10865" xr:uid="{770E1366-B533-460E-B57E-5D778C54239B}"/>
    <cellStyle name="20% - Accent2 2 3 4 5" xfId="19312" xr:uid="{F1FB344B-854B-4256-9742-F89885E9E999}"/>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0828D524-E1E6-4DC9-8A2D-F9A7B9C36564}"/>
    <cellStyle name="20% - Accent2 2 3 5 2 2 3" xfId="26087" xr:uid="{D13C08EE-548E-4A4B-A367-488CAB53D0F3}"/>
    <cellStyle name="20% - Accent2 2 3 5 2 3" xfId="13423" xr:uid="{C3B4F217-49B2-4EE4-AA7E-F0EC65271D07}"/>
    <cellStyle name="20% - Accent2 2 3 5 2 4" xfId="21870" xr:uid="{984EC463-3DBE-4A32-9F09-56F883185E01}"/>
    <cellStyle name="20% - Accent2 2 3 5 3" xfId="6169" xr:uid="{00000000-0005-0000-0000-0000DB000000}"/>
    <cellStyle name="20% - Accent2 2 3 5 3 2" xfId="15495" xr:uid="{FCC7216C-C8AC-46FE-88F4-2821EB0D9149}"/>
    <cellStyle name="20% - Accent2 2 3 5 3 3" xfId="23942" xr:uid="{2B65BA93-69FE-4738-85A1-F51AA2A572C5}"/>
    <cellStyle name="20% - Accent2 2 3 5 4" xfId="11278" xr:uid="{B097D88E-F6CF-40DC-8C53-37E541E2B288}"/>
    <cellStyle name="20% - Accent2 2 3 5 5" xfId="19725" xr:uid="{F59F67F0-0013-436E-A4BD-0DC359D9C40D}"/>
    <cellStyle name="20% - Accent2 2 3 6" xfId="2276" xr:uid="{00000000-0005-0000-0000-0000DC000000}"/>
    <cellStyle name="20% - Accent2 2 3 6 2" xfId="6582" xr:uid="{00000000-0005-0000-0000-0000DD000000}"/>
    <cellStyle name="20% - Accent2 2 3 6 2 2" xfId="15908" xr:uid="{82DD6E2E-58D9-4AAB-9B3D-FCD0DFEE3C08}"/>
    <cellStyle name="20% - Accent2 2 3 6 2 3" xfId="24355" xr:uid="{5474EFF2-7A25-4AF6-8300-958342EDA028}"/>
    <cellStyle name="20% - Accent2 2 3 6 3" xfId="11691" xr:uid="{F654D819-487A-42E8-9DBD-7A6049B8D262}"/>
    <cellStyle name="20% - Accent2 2 3 6 4" xfId="20138" xr:uid="{1DA55403-E194-474A-9BEF-380216152CF2}"/>
    <cellStyle name="20% - Accent2 2 3 7" xfId="4516" xr:uid="{00000000-0005-0000-0000-0000DE000000}"/>
    <cellStyle name="20% - Accent2 2 3 7 2" xfId="13842" xr:uid="{7F9ED419-B4F8-4B60-A597-9CC9D46B47E4}"/>
    <cellStyle name="20% - Accent2 2 3 7 3" xfId="22289" xr:uid="{ABB448DA-077D-4B07-B92A-05452EFEB64A}"/>
    <cellStyle name="20% - Accent2 2 3 8" xfId="9000" xr:uid="{133DFC5C-F2FF-49E9-82EE-ABAA9C815393}"/>
    <cellStyle name="20% - Accent2 2 3 9" xfId="9625" xr:uid="{705DED66-DBF4-4AA3-A850-4CF0329F07CA}"/>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7168F9A4-A40E-4843-B377-5851502A9062}"/>
    <cellStyle name="20% - Accent2 2 4 2 2 3" xfId="24845" xr:uid="{C76E1AD7-9DE9-4AAA-9762-2C3AEA701690}"/>
    <cellStyle name="20% - Accent2 2 4 2 3" xfId="12181" xr:uid="{C3EB7AC0-99A7-4583-8D88-6825F184F3FE}"/>
    <cellStyle name="20% - Accent2 2 4 2 4" xfId="20628" xr:uid="{3D11D7FB-7F28-43B1-BD10-FE9F71884EE3}"/>
    <cellStyle name="20% - Accent2 2 4 3" xfId="4927" xr:uid="{00000000-0005-0000-0000-0000E2000000}"/>
    <cellStyle name="20% - Accent2 2 4 3 2" xfId="14253" xr:uid="{9C30DFDA-E528-4A1F-BB96-8DCFBDF93500}"/>
    <cellStyle name="20% - Accent2 2 4 3 3" xfId="22700" xr:uid="{FF2EB546-75CD-46C3-9199-E2187D27D400}"/>
    <cellStyle name="20% - Accent2 2 4 4" xfId="9217" xr:uid="{28DDC3F5-BA57-40F8-8D06-6CFF141CF9A1}"/>
    <cellStyle name="20% - Accent2 2 4 5" xfId="10036" xr:uid="{A6205BDA-A312-453D-A251-7A764B7E21F6}"/>
    <cellStyle name="20% - Accent2 2 4 6" xfId="18483" xr:uid="{5DC63967-1D44-4160-953E-64AD822ADC9D}"/>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93BCA475-A7AD-411E-95D0-356CE5AF417B}"/>
    <cellStyle name="20% - Accent2 2 5 2 2 3" xfId="25258" xr:uid="{F0020E76-0AC0-4E11-B588-C0AB70B9A838}"/>
    <cellStyle name="20% - Accent2 2 5 2 3" xfId="12594" xr:uid="{83E9E2B2-742F-4C21-BF81-022830A59678}"/>
    <cellStyle name="20% - Accent2 2 5 2 4" xfId="21041" xr:uid="{B308EBD3-86BC-4EFE-A453-6A64E3CBFA48}"/>
    <cellStyle name="20% - Accent2 2 5 3" xfId="5340" xr:uid="{00000000-0005-0000-0000-0000E6000000}"/>
    <cellStyle name="20% - Accent2 2 5 3 2" xfId="14666" xr:uid="{11092B61-C9F0-427B-8E23-D7FAF85725E9}"/>
    <cellStyle name="20% - Accent2 2 5 3 3" xfId="23113" xr:uid="{A55859CD-A7C7-47CF-BF21-DAB117D06DC0}"/>
    <cellStyle name="20% - Accent2 2 5 4" xfId="10449" xr:uid="{BAE59FD9-4286-4417-A077-ADE6393F15A0}"/>
    <cellStyle name="20% - Accent2 2 5 5" xfId="18896" xr:uid="{1E693F90-14AC-41CA-B5DC-C9A7FBCA1EC6}"/>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6CCA0A6D-54E0-44E5-BB35-99EC4FC30DA1}"/>
    <cellStyle name="20% - Accent2 2 6 2 2 3" xfId="25671" xr:uid="{0A7D9541-3FE9-4880-833E-EECA7AE07400}"/>
    <cellStyle name="20% - Accent2 2 6 2 3" xfId="13007" xr:uid="{B378FD1F-8DA1-4E09-8FF4-37515F46C79E}"/>
    <cellStyle name="20% - Accent2 2 6 2 4" xfId="21454" xr:uid="{E69311FC-D405-43B1-8CF9-4680DB1C8C53}"/>
    <cellStyle name="20% - Accent2 2 6 3" xfId="5753" xr:uid="{00000000-0005-0000-0000-0000EA000000}"/>
    <cellStyle name="20% - Accent2 2 6 3 2" xfId="15079" xr:uid="{77FCDC1F-A19B-4574-BA10-63010EA9E768}"/>
    <cellStyle name="20% - Accent2 2 6 3 3" xfId="23526" xr:uid="{3BBB7FC2-52BC-44FE-AAD3-33653399A9F2}"/>
    <cellStyle name="20% - Accent2 2 6 4" xfId="10862" xr:uid="{3F835F3D-59E9-4298-B674-C1160B7C0466}"/>
    <cellStyle name="20% - Accent2 2 6 5" xfId="19309" xr:uid="{D70A378E-C26A-46EA-AA86-224EB9377496}"/>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45C73A87-9673-4040-8200-1FF6D2EC6595}"/>
    <cellStyle name="20% - Accent2 2 7 2 2 3" xfId="26084" xr:uid="{4E7D9C8D-4E69-41C7-8D2C-E17DF432D3A3}"/>
    <cellStyle name="20% - Accent2 2 7 2 3" xfId="13420" xr:uid="{0347F226-417C-434A-BC80-A5700FFAF920}"/>
    <cellStyle name="20% - Accent2 2 7 2 4" xfId="21867" xr:uid="{8B8F65C5-FE05-4CFE-97F3-8728D0827E59}"/>
    <cellStyle name="20% - Accent2 2 7 3" xfId="6166" xr:uid="{00000000-0005-0000-0000-0000EE000000}"/>
    <cellStyle name="20% - Accent2 2 7 3 2" xfId="15492" xr:uid="{2E165897-1E40-474A-A223-26722CB18888}"/>
    <cellStyle name="20% - Accent2 2 7 3 3" xfId="23939" xr:uid="{E236D861-C247-48FD-9EEC-6CC40CAC8397}"/>
    <cellStyle name="20% - Accent2 2 7 4" xfId="11275" xr:uid="{A57080F1-31B8-478B-97ED-07295DEFC7F0}"/>
    <cellStyle name="20% - Accent2 2 7 5" xfId="19722" xr:uid="{574841B8-E338-4251-9AF6-A49EB890DDEA}"/>
    <cellStyle name="20% - Accent2 2 8" xfId="2273" xr:uid="{00000000-0005-0000-0000-0000EF000000}"/>
    <cellStyle name="20% - Accent2 2 8 2" xfId="6579" xr:uid="{00000000-0005-0000-0000-0000F0000000}"/>
    <cellStyle name="20% - Accent2 2 8 2 2" xfId="15905" xr:uid="{2CE56227-587E-4F07-B2F6-96EC3DBDC1F4}"/>
    <cellStyle name="20% - Accent2 2 8 2 3" xfId="24352" xr:uid="{B3D408FD-072D-4941-BBC8-F5C3C206188C}"/>
    <cellStyle name="20% - Accent2 2 8 3" xfId="11688" xr:uid="{7DA138CB-AC5A-4E0F-826C-151600B01301}"/>
    <cellStyle name="20% - Accent2 2 8 4" xfId="20135" xr:uid="{A28FAC62-A23C-4DB3-ACE1-F7DB70943F75}"/>
    <cellStyle name="20% - Accent2 2 9" xfId="4513" xr:uid="{00000000-0005-0000-0000-0000F1000000}"/>
    <cellStyle name="20% - Accent2 2 9 2" xfId="13839" xr:uid="{0F92F80A-90E3-49AD-B92F-AD4F406D87B1}"/>
    <cellStyle name="20% - Accent2 2 9 3" xfId="22286" xr:uid="{1B68C1C3-69CC-402E-8CC3-8C54CEA9AC26}"/>
    <cellStyle name="20% - Accent2 3" xfId="14" xr:uid="{00000000-0005-0000-0000-0000F2000000}"/>
    <cellStyle name="20% - Accent2 3 10" xfId="9626" xr:uid="{B97B4FE1-F07D-407C-9C2D-F41F328E67FB}"/>
    <cellStyle name="20% - Accent2 3 11" xfId="18073" xr:uid="{3D764838-06E7-42F1-BE0F-E5B82D0A5387}"/>
    <cellStyle name="20% - Accent2 3 2" xfId="15" xr:uid="{00000000-0005-0000-0000-0000F3000000}"/>
    <cellStyle name="20% - Accent2 3 2 10" xfId="18074" xr:uid="{076F2003-520B-494E-83A8-91FB2D59A17E}"/>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30364CE9-22E6-403A-AD52-B10BA3066ABC}"/>
    <cellStyle name="20% - Accent2 3 2 2 2 2 3" xfId="24850" xr:uid="{BAA813C7-0291-40B3-83E6-E4AA96320E9B}"/>
    <cellStyle name="20% - Accent2 3 2 2 2 3" xfId="12186" xr:uid="{98C03212-FBF6-4CCF-A25F-8E4FCD7E2EE5}"/>
    <cellStyle name="20% - Accent2 3 2 2 2 4" xfId="20633" xr:uid="{E223F24F-1847-4CF5-B5E0-1E28455E63A3}"/>
    <cellStyle name="20% - Accent2 3 2 2 3" xfId="4932" xr:uid="{00000000-0005-0000-0000-0000F7000000}"/>
    <cellStyle name="20% - Accent2 3 2 2 3 2" xfId="14258" xr:uid="{2C1AF294-6DD8-46D8-B66B-19B54ABAFDD4}"/>
    <cellStyle name="20% - Accent2 3 2 2 3 3" xfId="22705" xr:uid="{BCE917A0-8428-4C8A-A304-6BFBF962ED9B}"/>
    <cellStyle name="20% - Accent2 3 2 2 4" xfId="9495" xr:uid="{9F5A6FE7-BBC9-4787-8EC4-2112F4D5A0EA}"/>
    <cellStyle name="20% - Accent2 3 2 2 5" xfId="10041" xr:uid="{1C52D534-D0B8-445F-929C-FB70B8659C93}"/>
    <cellStyle name="20% - Accent2 3 2 2 6" xfId="18488" xr:uid="{09FDE0B8-F6E2-4C34-935C-8DFA67CA869C}"/>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4C3A1076-43E2-42D7-8757-FB49FDD98134}"/>
    <cellStyle name="20% - Accent2 3 2 3 2 2 3" xfId="25263" xr:uid="{356868CE-174A-45A2-9E33-EFB65FC83536}"/>
    <cellStyle name="20% - Accent2 3 2 3 2 3" xfId="12599" xr:uid="{391F004C-E0FB-484D-9EF5-6A4CD7CE5BF0}"/>
    <cellStyle name="20% - Accent2 3 2 3 2 4" xfId="21046" xr:uid="{90DACC86-F54A-45E1-BD53-55B814CD777D}"/>
    <cellStyle name="20% - Accent2 3 2 3 3" xfId="5345" xr:uid="{00000000-0005-0000-0000-0000FB000000}"/>
    <cellStyle name="20% - Accent2 3 2 3 3 2" xfId="14671" xr:uid="{E99EAE3E-6B60-499B-B32B-1E734D593809}"/>
    <cellStyle name="20% - Accent2 3 2 3 3 3" xfId="23118" xr:uid="{686B146F-AEC6-4727-9A3C-C9D4965A01C6}"/>
    <cellStyle name="20% - Accent2 3 2 3 4" xfId="10454" xr:uid="{6DDE2474-07C7-450C-BD39-C0CD8C618FFE}"/>
    <cellStyle name="20% - Accent2 3 2 3 5" xfId="18901" xr:uid="{F1EC5324-A56C-4406-88F2-644CF94FA8CB}"/>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A6E66A14-64A7-4E54-ADC3-6150B125A556}"/>
    <cellStyle name="20% - Accent2 3 2 4 2 2 3" xfId="25676" xr:uid="{BCCCA7E1-365E-429E-9046-3A7EC3678C2A}"/>
    <cellStyle name="20% - Accent2 3 2 4 2 3" xfId="13012" xr:uid="{02A6FD00-BBE8-478D-8853-87488A8ECA67}"/>
    <cellStyle name="20% - Accent2 3 2 4 2 4" xfId="21459" xr:uid="{3313351D-34B8-46DC-B449-2F65CF380AD1}"/>
    <cellStyle name="20% - Accent2 3 2 4 3" xfId="5758" xr:uid="{00000000-0005-0000-0000-0000FF000000}"/>
    <cellStyle name="20% - Accent2 3 2 4 3 2" xfId="15084" xr:uid="{2DD15B25-8E1A-464C-9EF9-BAD687077893}"/>
    <cellStyle name="20% - Accent2 3 2 4 3 3" xfId="23531" xr:uid="{DD56F07F-EC67-4E11-9B8C-26DB254BEAE7}"/>
    <cellStyle name="20% - Accent2 3 2 4 4" xfId="10867" xr:uid="{2EAA8766-B358-4615-8CB3-60E398A3EDB2}"/>
    <cellStyle name="20% - Accent2 3 2 4 5" xfId="19314" xr:uid="{54032C85-AA27-4DD3-A628-26FF32DCA0A1}"/>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02C0B72C-04B8-4CD7-AEC2-42DD07ED3E4E}"/>
    <cellStyle name="20% - Accent2 3 2 5 2 2 3" xfId="26089" xr:uid="{45E7E62F-6714-4862-9B40-BF610F9D64A9}"/>
    <cellStyle name="20% - Accent2 3 2 5 2 3" xfId="13425" xr:uid="{DDBA51B0-2344-47A6-9013-2380E4B5F763}"/>
    <cellStyle name="20% - Accent2 3 2 5 2 4" xfId="21872" xr:uid="{92D8E8D3-9237-4DF2-967A-13AA73362C2D}"/>
    <cellStyle name="20% - Accent2 3 2 5 3" xfId="6171" xr:uid="{00000000-0005-0000-0000-000003010000}"/>
    <cellStyle name="20% - Accent2 3 2 5 3 2" xfId="15497" xr:uid="{691E4D7E-62E9-4D43-BB06-7558F02245D2}"/>
    <cellStyle name="20% - Accent2 3 2 5 3 3" xfId="23944" xr:uid="{5E19E379-8C76-47AB-B6DC-1BCF3831B7B3}"/>
    <cellStyle name="20% - Accent2 3 2 5 4" xfId="11280" xr:uid="{AEE2C691-00BD-4583-8C92-4AEA6C89481C}"/>
    <cellStyle name="20% - Accent2 3 2 5 5" xfId="19727" xr:uid="{17084727-04F6-4F84-88C8-87B23B93CA3C}"/>
    <cellStyle name="20% - Accent2 3 2 6" xfId="2278" xr:uid="{00000000-0005-0000-0000-000004010000}"/>
    <cellStyle name="20% - Accent2 3 2 6 2" xfId="6584" xr:uid="{00000000-0005-0000-0000-000005010000}"/>
    <cellStyle name="20% - Accent2 3 2 6 2 2" xfId="15910" xr:uid="{7DF120DF-D2C4-4419-A625-5192324D5913}"/>
    <cellStyle name="20% - Accent2 3 2 6 2 3" xfId="24357" xr:uid="{89514394-D7A4-4388-AB2A-13C1A78FC884}"/>
    <cellStyle name="20% - Accent2 3 2 6 3" xfId="11693" xr:uid="{2F1C07D0-4E31-4120-B2D7-30DD296CF892}"/>
    <cellStyle name="20% - Accent2 3 2 6 4" xfId="20140" xr:uid="{8E3A76EF-5C41-430B-AD6E-5B22A6B31B89}"/>
    <cellStyle name="20% - Accent2 3 2 7" xfId="4518" xr:uid="{00000000-0005-0000-0000-000006010000}"/>
    <cellStyle name="20% - Accent2 3 2 7 2" xfId="13844" xr:uid="{612A6077-8F57-4D98-8321-B05F9422F6F8}"/>
    <cellStyle name="20% - Accent2 3 2 7 3" xfId="22291" xr:uid="{59D53C27-FB98-4ACD-8DAF-DB1936583AE8}"/>
    <cellStyle name="20% - Accent2 3 2 8" xfId="9070" xr:uid="{8A9168BA-490F-4E57-83EA-22187D24153F}"/>
    <cellStyle name="20% - Accent2 3 2 9" xfId="9627" xr:uid="{8213CF8C-056B-4C4E-AE81-305777510D24}"/>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9AE9F55E-259A-4EDE-8CFC-CD98BE02E01E}"/>
    <cellStyle name="20% - Accent2 3 3 2 2 3" xfId="24849" xr:uid="{5C2B8612-85CE-4E32-9B16-DD7345943D0A}"/>
    <cellStyle name="20% - Accent2 3 3 2 3" xfId="12185" xr:uid="{8BC2B368-F97A-4FC9-8096-0731FBE2ACEC}"/>
    <cellStyle name="20% - Accent2 3 3 2 4" xfId="20632" xr:uid="{9CCE1010-97E1-4C9F-A753-3FD2A848E015}"/>
    <cellStyle name="20% - Accent2 3 3 3" xfId="4931" xr:uid="{00000000-0005-0000-0000-00000A010000}"/>
    <cellStyle name="20% - Accent2 3 3 3 2" xfId="14257" xr:uid="{20DBE69B-E56C-44A3-8154-7446E0AB6C38}"/>
    <cellStyle name="20% - Accent2 3 3 3 3" xfId="22704" xr:uid="{71B7DC6E-0401-45D2-98B1-5554DB35C49A}"/>
    <cellStyle name="20% - Accent2 3 3 4" xfId="9288" xr:uid="{FCD70616-ECAD-4A0B-889F-4698E1AD889E}"/>
    <cellStyle name="20% - Accent2 3 3 5" xfId="10040" xr:uid="{3740D8C2-7B12-44A7-A9D8-CF18B96C73D6}"/>
    <cellStyle name="20% - Accent2 3 3 6" xfId="18487" xr:uid="{C54BFB91-65A5-46BC-A7AB-5701F8F9EA84}"/>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EF77418D-5E11-49F5-9B72-ED23F8D1EA66}"/>
    <cellStyle name="20% - Accent2 3 4 2 2 3" xfId="25262" xr:uid="{DAB35E67-C124-4E0D-BE1B-F03853271E25}"/>
    <cellStyle name="20% - Accent2 3 4 2 3" xfId="12598" xr:uid="{53F1C360-E8D1-4555-96F1-ED56733DF280}"/>
    <cellStyle name="20% - Accent2 3 4 2 4" xfId="21045" xr:uid="{E20B598D-EAAB-4836-A8B2-8F5CAA2A0135}"/>
    <cellStyle name="20% - Accent2 3 4 3" xfId="5344" xr:uid="{00000000-0005-0000-0000-00000E010000}"/>
    <cellStyle name="20% - Accent2 3 4 3 2" xfId="14670" xr:uid="{99F3D1C1-8F32-4163-AA35-63ED367BEEC6}"/>
    <cellStyle name="20% - Accent2 3 4 3 3" xfId="23117" xr:uid="{6260363F-C033-432B-8D51-0C7A209A1DD5}"/>
    <cellStyle name="20% - Accent2 3 4 4" xfId="10453" xr:uid="{EE96593E-805C-469C-9760-B6F8EEB93A88}"/>
    <cellStyle name="20% - Accent2 3 4 5" xfId="18900" xr:uid="{B8E1387D-B450-4F9F-B1F8-FD9F1A40CEA8}"/>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C43B8481-1387-471C-929C-AF04D87F10EC}"/>
    <cellStyle name="20% - Accent2 3 5 2 2 3" xfId="25675" xr:uid="{FAF64DEE-8DBF-4DBE-9212-113B5D208C0A}"/>
    <cellStyle name="20% - Accent2 3 5 2 3" xfId="13011" xr:uid="{C7D628CB-7C2F-4222-A3AE-826515AD673D}"/>
    <cellStyle name="20% - Accent2 3 5 2 4" xfId="21458" xr:uid="{47F3C496-45E9-467B-BF03-A5109A556EBB}"/>
    <cellStyle name="20% - Accent2 3 5 3" xfId="5757" xr:uid="{00000000-0005-0000-0000-000012010000}"/>
    <cellStyle name="20% - Accent2 3 5 3 2" xfId="15083" xr:uid="{37160352-F712-47E9-97A3-46283FFC9CCF}"/>
    <cellStyle name="20% - Accent2 3 5 3 3" xfId="23530" xr:uid="{34220C80-70F1-45D2-AEB5-952E4B4793E0}"/>
    <cellStyle name="20% - Accent2 3 5 4" xfId="10866" xr:uid="{5878B817-2D14-4CCE-9499-F38DB16ABA59}"/>
    <cellStyle name="20% - Accent2 3 5 5" xfId="19313" xr:uid="{E7DA267E-527E-4D24-9318-D07237D6FD88}"/>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9357D1D0-18EB-4C95-81D4-8DD0D34BAAE5}"/>
    <cellStyle name="20% - Accent2 3 6 2 2 3" xfId="26088" xr:uid="{75044595-9E20-49ED-81D0-A7A31DAE1338}"/>
    <cellStyle name="20% - Accent2 3 6 2 3" xfId="13424" xr:uid="{7AE3A4F6-1ACD-40E1-BA86-7DC87886FA2C}"/>
    <cellStyle name="20% - Accent2 3 6 2 4" xfId="21871" xr:uid="{B44E6FBA-3F6E-4FFC-BE82-3F9CF08F44AB}"/>
    <cellStyle name="20% - Accent2 3 6 3" xfId="6170" xr:uid="{00000000-0005-0000-0000-000016010000}"/>
    <cellStyle name="20% - Accent2 3 6 3 2" xfId="15496" xr:uid="{191AB223-BF68-4AFB-B9BE-41EAC6631162}"/>
    <cellStyle name="20% - Accent2 3 6 3 3" xfId="23943" xr:uid="{B876A6B0-25EB-40CC-A297-DD1CD19B10B1}"/>
    <cellStyle name="20% - Accent2 3 6 4" xfId="11279" xr:uid="{58457CDE-BDA0-4246-A0D3-0FB50FE6C666}"/>
    <cellStyle name="20% - Accent2 3 6 5" xfId="19726" xr:uid="{6B397234-5913-4410-B59E-99D974B0CB3E}"/>
    <cellStyle name="20% - Accent2 3 7" xfId="2277" xr:uid="{00000000-0005-0000-0000-000017010000}"/>
    <cellStyle name="20% - Accent2 3 7 2" xfId="6583" xr:uid="{00000000-0005-0000-0000-000018010000}"/>
    <cellStyle name="20% - Accent2 3 7 2 2" xfId="15909" xr:uid="{C1B6D770-4FE3-401E-8F29-92D73BE6390A}"/>
    <cellStyle name="20% - Accent2 3 7 2 3" xfId="24356" xr:uid="{49819AE4-4B7C-4C2B-B763-C4EB9F7A4D3C}"/>
    <cellStyle name="20% - Accent2 3 7 3" xfId="11692" xr:uid="{E4F4F99B-4159-4699-9381-E94ECD923A61}"/>
    <cellStyle name="20% - Accent2 3 7 4" xfId="20139" xr:uid="{3CFA6061-5D3B-42AB-B11D-5D62C6156B84}"/>
    <cellStyle name="20% - Accent2 3 8" xfId="4517" xr:uid="{00000000-0005-0000-0000-000019010000}"/>
    <cellStyle name="20% - Accent2 3 8 2" xfId="13843" xr:uid="{7D54783A-7627-4368-94C2-4A1BEC11F229}"/>
    <cellStyle name="20% - Accent2 3 8 3" xfId="22290" xr:uid="{2D4048D3-5854-4E29-923C-B0A036F0E074}"/>
    <cellStyle name="20% - Accent2 3 9" xfId="8863" xr:uid="{C6A258FB-33DC-4171-B9DD-C29513CA80FD}"/>
    <cellStyle name="20% - Accent2 4" xfId="16" xr:uid="{00000000-0005-0000-0000-00001A010000}"/>
    <cellStyle name="20% - Accent2 4 10" xfId="18075" xr:uid="{1E1A9C5A-9675-44D2-B7B4-699A7123CE46}"/>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8F9B16D5-A1A4-4594-8612-1EC41FAD40B3}"/>
    <cellStyle name="20% - Accent2 4 2 2 2 3" xfId="24851" xr:uid="{111B9EF4-DA61-4726-8426-A9EABFA84B76}"/>
    <cellStyle name="20% - Accent2 4 2 2 3" xfId="12187" xr:uid="{DF7FD97E-A4D9-4875-9A18-EE52ED4487C0}"/>
    <cellStyle name="20% - Accent2 4 2 2 4" xfId="20634" xr:uid="{DE645148-4331-4367-A05E-2C2B10629F6C}"/>
    <cellStyle name="20% - Accent2 4 2 3" xfId="4933" xr:uid="{00000000-0005-0000-0000-00001E010000}"/>
    <cellStyle name="20% - Accent2 4 2 3 2" xfId="14259" xr:uid="{409BBF3F-97F6-4C93-A8D3-85C5D81A55D0}"/>
    <cellStyle name="20% - Accent2 4 2 3 3" xfId="22706" xr:uid="{E9315251-A672-4389-8BC3-F69D7D7DE927}"/>
    <cellStyle name="20% - Accent2 4 2 4" xfId="9374" xr:uid="{26FD7A0E-8D04-4AF7-B092-2B22A78F0A97}"/>
    <cellStyle name="20% - Accent2 4 2 5" xfId="10042" xr:uid="{FB95EE53-0E3E-482E-81B9-5352BF07F2A1}"/>
    <cellStyle name="20% - Accent2 4 2 6" xfId="18489" xr:uid="{6C2BFD15-C6BD-4349-AD19-9BAC7A923FC0}"/>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C00F2B14-C29F-463A-B86D-4FF642BDBD90}"/>
    <cellStyle name="20% - Accent2 4 3 2 2 3" xfId="25264" xr:uid="{F69123B2-1DE6-4967-BC94-E63BA5FFCAED}"/>
    <cellStyle name="20% - Accent2 4 3 2 3" xfId="12600" xr:uid="{6373BF26-95BA-4231-91C0-CACC825963AF}"/>
    <cellStyle name="20% - Accent2 4 3 2 4" xfId="21047" xr:uid="{D6535318-DBE3-4802-90D0-FFBFC7AE9345}"/>
    <cellStyle name="20% - Accent2 4 3 3" xfId="5346" xr:uid="{00000000-0005-0000-0000-000022010000}"/>
    <cellStyle name="20% - Accent2 4 3 3 2" xfId="14672" xr:uid="{6CF956C6-B69F-4B50-BC3C-7B77C4AA82AC}"/>
    <cellStyle name="20% - Accent2 4 3 3 3" xfId="23119" xr:uid="{195F5B21-7A9B-4774-918D-C31D3015F971}"/>
    <cellStyle name="20% - Accent2 4 3 4" xfId="10455" xr:uid="{F7C41955-CC0C-4CC4-B050-50EA331DD9E8}"/>
    <cellStyle name="20% - Accent2 4 3 5" xfId="18902" xr:uid="{07A52C8F-86E6-4C91-BE26-E8DE36842202}"/>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547ED064-E81A-400C-A0B8-5AD4A3AA7403}"/>
    <cellStyle name="20% - Accent2 4 4 2 2 3" xfId="25677" xr:uid="{D8084633-CEFD-4D4B-A856-828C8456C7D6}"/>
    <cellStyle name="20% - Accent2 4 4 2 3" xfId="13013" xr:uid="{D6B0912E-44A2-4CC1-9376-BA09923887C8}"/>
    <cellStyle name="20% - Accent2 4 4 2 4" xfId="21460" xr:uid="{206BAD6E-CFEB-440D-9C17-1FBE5987438C}"/>
    <cellStyle name="20% - Accent2 4 4 3" xfId="5759" xr:uid="{00000000-0005-0000-0000-000026010000}"/>
    <cellStyle name="20% - Accent2 4 4 3 2" xfId="15085" xr:uid="{418CAED1-B99D-4C3F-A9DA-BB0BF3CE5887}"/>
    <cellStyle name="20% - Accent2 4 4 3 3" xfId="23532" xr:uid="{C6449869-6952-4B26-83DD-C49F596F4385}"/>
    <cellStyle name="20% - Accent2 4 4 4" xfId="10868" xr:uid="{41FB4D16-C2AB-495E-9B26-4B1D12EB253D}"/>
    <cellStyle name="20% - Accent2 4 4 5" xfId="19315" xr:uid="{438642A5-47BE-4726-A00A-6DB473686D5D}"/>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177CF472-8E70-4DA0-8A01-0FF6A939B941}"/>
    <cellStyle name="20% - Accent2 4 5 2 2 3" xfId="26090" xr:uid="{A0269C22-39A3-49F7-B582-0D7EF9DD4432}"/>
    <cellStyle name="20% - Accent2 4 5 2 3" xfId="13426" xr:uid="{1CD83490-6C8E-48B8-93E3-341AAE703CB6}"/>
    <cellStyle name="20% - Accent2 4 5 2 4" xfId="21873" xr:uid="{3FDD0F87-5C22-4958-AEF0-7116C8B9D589}"/>
    <cellStyle name="20% - Accent2 4 5 3" xfId="6172" xr:uid="{00000000-0005-0000-0000-00002A010000}"/>
    <cellStyle name="20% - Accent2 4 5 3 2" xfId="15498" xr:uid="{F49DC229-1B4D-41FF-AB7A-B231F395046F}"/>
    <cellStyle name="20% - Accent2 4 5 3 3" xfId="23945" xr:uid="{112D4443-F427-427A-B673-B88A86F1A0E5}"/>
    <cellStyle name="20% - Accent2 4 5 4" xfId="11281" xr:uid="{86EA4022-02C6-4AEC-BFC5-CE1AB3680105}"/>
    <cellStyle name="20% - Accent2 4 5 5" xfId="19728" xr:uid="{B69B55EA-C6A3-478A-A78D-551043A0EB50}"/>
    <cellStyle name="20% - Accent2 4 6" xfId="2279" xr:uid="{00000000-0005-0000-0000-00002B010000}"/>
    <cellStyle name="20% - Accent2 4 6 2" xfId="6585" xr:uid="{00000000-0005-0000-0000-00002C010000}"/>
    <cellStyle name="20% - Accent2 4 6 2 2" xfId="15911" xr:uid="{68EF1ABE-5CA6-4D2A-85B5-FEC9F5DF9C75}"/>
    <cellStyle name="20% - Accent2 4 6 2 3" xfId="24358" xr:uid="{E58F24E3-3F99-46AC-96F8-B4FED5B56C4C}"/>
    <cellStyle name="20% - Accent2 4 6 3" xfId="11694" xr:uid="{735A8117-DD08-4E6F-94AC-90B61F64031E}"/>
    <cellStyle name="20% - Accent2 4 6 4" xfId="20141" xr:uid="{5D13153C-4027-4280-9674-9A4ED3523A3F}"/>
    <cellStyle name="20% - Accent2 4 7" xfId="4519" xr:uid="{00000000-0005-0000-0000-00002D010000}"/>
    <cellStyle name="20% - Accent2 4 7 2" xfId="13845" xr:uid="{F57ACEE8-E20C-4769-8536-81B8C10D76E2}"/>
    <cellStyle name="20% - Accent2 4 7 3" xfId="22292" xr:uid="{99ED37AC-ADC7-4D54-BFB1-83689DDB52D7}"/>
    <cellStyle name="20% - Accent2 4 8" xfId="8949" xr:uid="{084C22A9-B904-4AFE-A752-AC1DC2CA76B8}"/>
    <cellStyle name="20% - Accent2 4 9" xfId="9628" xr:uid="{8741298C-7DC7-4C6A-8723-8BBE3CAA89D5}"/>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6DF248A4-5718-4D1B-AC2B-D680A7687819}"/>
    <cellStyle name="20% - Accent2 5 2 2 3" xfId="24844" xr:uid="{EDD2F6A8-68C8-4249-AA19-BCF233C7B5C5}"/>
    <cellStyle name="20% - Accent2 5 2 3" xfId="12180" xr:uid="{DCDBDDFC-B164-4C01-A82E-167052FFB6B7}"/>
    <cellStyle name="20% - Accent2 5 2 4" xfId="20627" xr:uid="{D21FAA55-35EF-463D-BDAD-0A7187749B78}"/>
    <cellStyle name="20% - Accent2 5 3" xfId="4926" xr:uid="{00000000-0005-0000-0000-000031010000}"/>
    <cellStyle name="20% - Accent2 5 3 2" xfId="14252" xr:uid="{6DD7ABE0-D59F-427F-BD99-8EDE8BC29AEE}"/>
    <cellStyle name="20% - Accent2 5 3 3" xfId="22699" xr:uid="{5BF9D088-9130-4320-9C06-18CFA4718F1B}"/>
    <cellStyle name="20% - Accent2 5 4" xfId="9182" xr:uid="{F822E263-B2A4-41B5-BBF9-FCE1A7A30601}"/>
    <cellStyle name="20% - Accent2 5 5" xfId="10035" xr:uid="{7EA7CA8E-DF24-4A8A-9926-84E944B1BC02}"/>
    <cellStyle name="20% - Accent2 5 6" xfId="18482" xr:uid="{B52126AF-979A-47A0-8ED1-1CA33018F4B9}"/>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C185CCB1-7BE5-468F-A943-B76765F3EA86}"/>
    <cellStyle name="20% - Accent2 6 2 2 3" xfId="25257" xr:uid="{4733D269-03AA-4ECE-BD8C-E11FAEFB8D88}"/>
    <cellStyle name="20% - Accent2 6 2 3" xfId="12593" xr:uid="{493F905D-C956-4456-9965-C4AAB578E6C2}"/>
    <cellStyle name="20% - Accent2 6 2 4" xfId="21040" xr:uid="{ED43210A-1ACD-443E-859A-B89460906305}"/>
    <cellStyle name="20% - Accent2 6 3" xfId="5339" xr:uid="{00000000-0005-0000-0000-000035010000}"/>
    <cellStyle name="20% - Accent2 6 3 2" xfId="14665" xr:uid="{ED08D0F5-3A86-4DAA-9896-1FEC28065522}"/>
    <cellStyle name="20% - Accent2 6 3 3" xfId="23112" xr:uid="{1011104C-F715-43E1-8E5D-E1988B39E823}"/>
    <cellStyle name="20% - Accent2 6 4" xfId="10448" xr:uid="{03E02658-0CBF-4FEA-A7D8-91B6EFD2C5A5}"/>
    <cellStyle name="20% - Accent2 6 5" xfId="18895" xr:uid="{1B788C9E-E3C4-40C9-82D2-DAD726B9F854}"/>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FEAF17EB-E66B-4E1F-A0A7-405423763213}"/>
    <cellStyle name="20% - Accent2 7 2 2 3" xfId="25670" xr:uid="{554B9F94-482F-4CB3-B1A9-1B26D45F9FCF}"/>
    <cellStyle name="20% - Accent2 7 2 3" xfId="13006" xr:uid="{326B920B-AED1-45BE-911B-B76FCEADFF94}"/>
    <cellStyle name="20% - Accent2 7 2 4" xfId="21453" xr:uid="{CAC5B542-D6D9-4F14-8EA1-C922A0B20FEF}"/>
    <cellStyle name="20% - Accent2 7 3" xfId="5752" xr:uid="{00000000-0005-0000-0000-000039010000}"/>
    <cellStyle name="20% - Accent2 7 3 2" xfId="15078" xr:uid="{4B2B6725-9FEC-4275-ADED-C760C73AE0D7}"/>
    <cellStyle name="20% - Accent2 7 3 3" xfId="23525" xr:uid="{06132653-6E72-4F1C-9CC2-1C45A5E0D5C0}"/>
    <cellStyle name="20% - Accent2 7 4" xfId="10861" xr:uid="{7B4A7C15-EEC3-43F8-B7E5-AE9D20F96DF6}"/>
    <cellStyle name="20% - Accent2 7 5" xfId="19308" xr:uid="{F18DFD36-BA83-4C77-84FA-C0BB329372D5}"/>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80CA7EA4-6504-4761-A88D-45CEEB7B61D7}"/>
    <cellStyle name="20% - Accent2 8 2 2 3" xfId="26083" xr:uid="{672F7B59-C001-4225-9A06-399C7F796A07}"/>
    <cellStyle name="20% - Accent2 8 2 3" xfId="13419" xr:uid="{BEB38EF8-1C9D-40A0-90AD-398B0AAB7287}"/>
    <cellStyle name="20% - Accent2 8 2 4" xfId="21866" xr:uid="{C192F2B5-4BBF-401C-B40F-C33F00B482A9}"/>
    <cellStyle name="20% - Accent2 8 3" xfId="6165" xr:uid="{00000000-0005-0000-0000-00003D010000}"/>
    <cellStyle name="20% - Accent2 8 3 2" xfId="15491" xr:uid="{9F5FF9D4-F793-4675-82E3-552DEFEC290B}"/>
    <cellStyle name="20% - Accent2 8 3 3" xfId="23938" xr:uid="{A773EC2D-EFBC-4984-BC0B-44AEB99820D9}"/>
    <cellStyle name="20% - Accent2 8 4" xfId="11274" xr:uid="{01BAA727-C2A3-456A-B181-21EB9256E0E5}"/>
    <cellStyle name="20% - Accent2 8 5" xfId="19721" xr:uid="{FB837CDD-6733-4CA5-86BF-48BB36A5FCBB}"/>
    <cellStyle name="20% - Accent2 9" xfId="2272" xr:uid="{00000000-0005-0000-0000-00003E010000}"/>
    <cellStyle name="20% - Accent2 9 2" xfId="6578" xr:uid="{00000000-0005-0000-0000-00003F010000}"/>
    <cellStyle name="20% - Accent2 9 2 2" xfId="15904" xr:uid="{07479499-FEB2-489C-ABC9-09F667174DA9}"/>
    <cellStyle name="20% - Accent2 9 2 3" xfId="24351" xr:uid="{408CE1BD-BD61-4E01-BE98-81C5B32F7C26}"/>
    <cellStyle name="20% - Accent2 9 3" xfId="11687" xr:uid="{FB27C005-287A-42D1-8C39-EB0565984F8F}"/>
    <cellStyle name="20% - Accent2 9 4" xfId="20134" xr:uid="{936FC164-16D2-4DF4-A06C-21CA0618A224}"/>
    <cellStyle name="20% - Accent3" xfId="17" builtinId="38" customBuiltin="1"/>
    <cellStyle name="20% - Accent3 10" xfId="4520" xr:uid="{00000000-0005-0000-0000-000041010000}"/>
    <cellStyle name="20% - Accent3 10 2" xfId="13846" xr:uid="{06AD6860-43E6-442C-ABCD-99792C4C2E1C}"/>
    <cellStyle name="20% - Accent3 10 3" xfId="22293" xr:uid="{E9B93543-1F87-493F-BC84-DBF2A37EF904}"/>
    <cellStyle name="20% - Accent3 11" xfId="8762" xr:uid="{49ACF776-43E7-4BB5-82F5-A8A4FEBC45F8}"/>
    <cellStyle name="20% - Accent3 12" xfId="9629" xr:uid="{59FA6A27-9C1D-4A41-973A-8302FA17D4CC}"/>
    <cellStyle name="20% - Accent3 13" xfId="18076" xr:uid="{EFDF71EC-A930-4A69-94F1-5EAB0DEE6A05}"/>
    <cellStyle name="20% - Accent3 2" xfId="18" xr:uid="{00000000-0005-0000-0000-000042010000}"/>
    <cellStyle name="20% - Accent3 2 10" xfId="8792" xr:uid="{65E5762F-047C-4860-B47E-71363924E2A5}"/>
    <cellStyle name="20% - Accent3 2 11" xfId="9630" xr:uid="{EF3CB320-2F38-419D-8937-EF3DB7BED4D9}"/>
    <cellStyle name="20% - Accent3 2 12" xfId="18077" xr:uid="{6A1F2078-B372-4060-A6B3-D84A372B5C77}"/>
    <cellStyle name="20% - Accent3 2 2" xfId="19" xr:uid="{00000000-0005-0000-0000-000043010000}"/>
    <cellStyle name="20% - Accent3 2 2 10" xfId="9631" xr:uid="{765E7852-E005-41F5-83C7-7DB2385ABB56}"/>
    <cellStyle name="20% - Accent3 2 2 11" xfId="18078" xr:uid="{EB25E18B-AABF-43E6-9C59-311CE1EF76CF}"/>
    <cellStyle name="20% - Accent3 2 2 2" xfId="20" xr:uid="{00000000-0005-0000-0000-000044010000}"/>
    <cellStyle name="20% - Accent3 2 2 2 10" xfId="18079" xr:uid="{16D75C86-E77F-40FD-B07B-AA0B765C1B89}"/>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D97EFD38-0489-4380-8421-B00AFF0CEDB7}"/>
    <cellStyle name="20% - Accent3 2 2 2 2 2 2 3" xfId="24855" xr:uid="{BBFCAB0D-BB8D-4BDC-B9BD-5203EAAA8647}"/>
    <cellStyle name="20% - Accent3 2 2 2 2 2 3" xfId="12191" xr:uid="{014EEF65-A35D-487B-8A6F-AD86BD8BB441}"/>
    <cellStyle name="20% - Accent3 2 2 2 2 2 4" xfId="20638" xr:uid="{8B1968AB-0E09-4D95-ADC2-11592EF3BBE2}"/>
    <cellStyle name="20% - Accent3 2 2 2 2 3" xfId="4937" xr:uid="{00000000-0005-0000-0000-000048010000}"/>
    <cellStyle name="20% - Accent3 2 2 2 2 3 2" xfId="14263" xr:uid="{48FA9657-CB0C-4C87-9B3A-9F3B1D7ECFCE}"/>
    <cellStyle name="20% - Accent3 2 2 2 2 3 3" xfId="22710" xr:uid="{DAAF1201-918C-4A9F-910B-C6F4390E2794}"/>
    <cellStyle name="20% - Accent3 2 2 2 2 4" xfId="9527" xr:uid="{B82F9F3C-4714-4F10-BEB2-F90FC0563F53}"/>
    <cellStyle name="20% - Accent3 2 2 2 2 5" xfId="10046" xr:uid="{A18BB483-66EB-4C34-8DC8-1EE8A065DBA2}"/>
    <cellStyle name="20% - Accent3 2 2 2 2 6" xfId="18493" xr:uid="{7DCB242B-9D96-4E68-9901-83FE6493CF4B}"/>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33FCC916-E16E-4560-A898-D3818D996540}"/>
    <cellStyle name="20% - Accent3 2 2 2 3 2 2 3" xfId="25268" xr:uid="{8E1A8C84-D717-49B9-B277-AFB3D1A9CAC1}"/>
    <cellStyle name="20% - Accent3 2 2 2 3 2 3" xfId="12604" xr:uid="{587D4BC9-432B-4B90-9AD6-AAC7C54A118C}"/>
    <cellStyle name="20% - Accent3 2 2 2 3 2 4" xfId="21051" xr:uid="{15F426C0-8D86-4962-9765-64869F8B48CB}"/>
    <cellStyle name="20% - Accent3 2 2 2 3 3" xfId="5350" xr:uid="{00000000-0005-0000-0000-00004C010000}"/>
    <cellStyle name="20% - Accent3 2 2 2 3 3 2" xfId="14676" xr:uid="{774A9C16-6A1E-4CEF-8241-5C7F724EA3D5}"/>
    <cellStyle name="20% - Accent3 2 2 2 3 3 3" xfId="23123" xr:uid="{104F8E75-1A11-4A1F-940B-BC994A4CF18E}"/>
    <cellStyle name="20% - Accent3 2 2 2 3 4" xfId="10459" xr:uid="{25B56BF2-E039-4CD9-A458-88176B51DE02}"/>
    <cellStyle name="20% - Accent3 2 2 2 3 5" xfId="18906" xr:uid="{82917FC2-FF25-49D8-B5A9-C7F22CEAFC2B}"/>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19687F25-62C1-4A94-A620-2CB9ECFABD05}"/>
    <cellStyle name="20% - Accent3 2 2 2 4 2 2 3" xfId="25681" xr:uid="{AA2DBE3E-F5DB-4E22-843A-5B3ACD651C11}"/>
    <cellStyle name="20% - Accent3 2 2 2 4 2 3" xfId="13017" xr:uid="{E1F54530-2DBA-4554-A45B-4DCC6DD1B870}"/>
    <cellStyle name="20% - Accent3 2 2 2 4 2 4" xfId="21464" xr:uid="{3BEEAA7E-0A1E-478D-9BA3-789A8C181920}"/>
    <cellStyle name="20% - Accent3 2 2 2 4 3" xfId="5763" xr:uid="{00000000-0005-0000-0000-000050010000}"/>
    <cellStyle name="20% - Accent3 2 2 2 4 3 2" xfId="15089" xr:uid="{6B500F7F-25E1-4EFA-A0E7-88B772E82610}"/>
    <cellStyle name="20% - Accent3 2 2 2 4 3 3" xfId="23536" xr:uid="{D9AD2F72-F9EA-489B-8C34-A4796AE181BF}"/>
    <cellStyle name="20% - Accent3 2 2 2 4 4" xfId="10872" xr:uid="{3488D7D1-4C27-498E-B47F-A9DE30D8E8A4}"/>
    <cellStyle name="20% - Accent3 2 2 2 4 5" xfId="19319" xr:uid="{01374320-1708-430A-BFE6-00E902F73B1E}"/>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6678C878-C4FF-441D-8DE8-E19F5F95E74B}"/>
    <cellStyle name="20% - Accent3 2 2 2 5 2 2 3" xfId="26094" xr:uid="{7E8CEC4D-1D3A-43D1-90DB-65609E223D3D}"/>
    <cellStyle name="20% - Accent3 2 2 2 5 2 3" xfId="13430" xr:uid="{AE0F5A7D-F06D-4240-9DFF-47D8CA9E7526}"/>
    <cellStyle name="20% - Accent3 2 2 2 5 2 4" xfId="21877" xr:uid="{BACB0A43-F0CC-4AEC-BD2B-6ACD2DDAC50E}"/>
    <cellStyle name="20% - Accent3 2 2 2 5 3" xfId="6176" xr:uid="{00000000-0005-0000-0000-000054010000}"/>
    <cellStyle name="20% - Accent3 2 2 2 5 3 2" xfId="15502" xr:uid="{1695B1CA-7BE3-4873-8382-0A432AC3C7A4}"/>
    <cellStyle name="20% - Accent3 2 2 2 5 3 3" xfId="23949" xr:uid="{27743D9F-846D-47C6-8E04-C16D6A7F43B1}"/>
    <cellStyle name="20% - Accent3 2 2 2 5 4" xfId="11285" xr:uid="{9F8143D3-86CC-4BA4-BBB4-D366DEAA801B}"/>
    <cellStyle name="20% - Accent3 2 2 2 5 5" xfId="19732" xr:uid="{B9E12B0C-F16C-4F2E-ACEF-5387F23CF9E2}"/>
    <cellStyle name="20% - Accent3 2 2 2 6" xfId="2283" xr:uid="{00000000-0005-0000-0000-000055010000}"/>
    <cellStyle name="20% - Accent3 2 2 2 6 2" xfId="6589" xr:uid="{00000000-0005-0000-0000-000056010000}"/>
    <cellStyle name="20% - Accent3 2 2 2 6 2 2" xfId="15915" xr:uid="{4C1B3544-46CB-4DE0-A8CB-7C8927ED583B}"/>
    <cellStyle name="20% - Accent3 2 2 2 6 2 3" xfId="24362" xr:uid="{0C6562CB-CD0B-4051-96F9-7C75AEF78799}"/>
    <cellStyle name="20% - Accent3 2 2 2 6 3" xfId="11698" xr:uid="{BD1453F0-9FDF-4EAB-BF1C-08E958B60045}"/>
    <cellStyle name="20% - Accent3 2 2 2 6 4" xfId="20145" xr:uid="{E1B644DD-08BA-4FAA-9317-1CD7BAB1BA0A}"/>
    <cellStyle name="20% - Accent3 2 2 2 7" xfId="4523" xr:uid="{00000000-0005-0000-0000-000057010000}"/>
    <cellStyle name="20% - Accent3 2 2 2 7 2" xfId="13849" xr:uid="{D96C83A6-2021-49C6-B607-D9C897D74279}"/>
    <cellStyle name="20% - Accent3 2 2 2 7 3" xfId="22296" xr:uid="{99E52F69-B531-4BD3-B616-7C8B2D17D4B3}"/>
    <cellStyle name="20% - Accent3 2 2 2 8" xfId="9102" xr:uid="{77698EAD-FDE4-4105-BE80-980B5219F464}"/>
    <cellStyle name="20% - Accent3 2 2 2 9" xfId="9632" xr:uid="{3098C963-21D5-43C0-87BE-92CB99CD4B7A}"/>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260DFBC9-7BB5-4768-B9D4-89053DC26159}"/>
    <cellStyle name="20% - Accent3 2 2 3 2 2 3" xfId="24854" xr:uid="{47EF690A-6F96-4361-A435-0F9742AB0D16}"/>
    <cellStyle name="20% - Accent3 2 2 3 2 3" xfId="12190" xr:uid="{28F20905-634F-4D6D-8DD9-0DEF4914F9DB}"/>
    <cellStyle name="20% - Accent3 2 2 3 2 4" xfId="20637" xr:uid="{AC417461-A772-42B0-B3B6-DFE09E154EF1}"/>
    <cellStyle name="20% - Accent3 2 2 3 3" xfId="4936" xr:uid="{00000000-0005-0000-0000-00005B010000}"/>
    <cellStyle name="20% - Accent3 2 2 3 3 2" xfId="14262" xr:uid="{2B3AF607-CC3D-4A16-B29A-49ACD468114F}"/>
    <cellStyle name="20% - Accent3 2 2 3 3 3" xfId="22709" xr:uid="{43BECD75-E7EB-4598-8C0E-13291A5882AE}"/>
    <cellStyle name="20% - Accent3 2 2 3 4" xfId="9320" xr:uid="{BF070B19-D289-4211-B080-DBB621CAE7BA}"/>
    <cellStyle name="20% - Accent3 2 2 3 5" xfId="10045" xr:uid="{20E8E315-E0D2-4A95-BF76-9124CA18C7C3}"/>
    <cellStyle name="20% - Accent3 2 2 3 6" xfId="18492" xr:uid="{893B660C-F64A-4466-83A5-E7DA4DC2C1DE}"/>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07AF8EF7-0148-48F8-85EF-3EA3BB0F45A7}"/>
    <cellStyle name="20% - Accent3 2 2 4 2 2 3" xfId="25267" xr:uid="{09B67BB3-D209-4804-ACB0-C466B9D98D0E}"/>
    <cellStyle name="20% - Accent3 2 2 4 2 3" xfId="12603" xr:uid="{9C8CBA40-CF21-4BB8-BA81-7F5F5AE3FF49}"/>
    <cellStyle name="20% - Accent3 2 2 4 2 4" xfId="21050" xr:uid="{BD51D780-7161-4A69-A9B7-F7DA38E735F6}"/>
    <cellStyle name="20% - Accent3 2 2 4 3" xfId="5349" xr:uid="{00000000-0005-0000-0000-00005F010000}"/>
    <cellStyle name="20% - Accent3 2 2 4 3 2" xfId="14675" xr:uid="{5CF240D0-95C0-47B2-A854-BD6611E3423F}"/>
    <cellStyle name="20% - Accent3 2 2 4 3 3" xfId="23122" xr:uid="{6509FD5D-C499-42E2-83B2-2D0CF0447BC8}"/>
    <cellStyle name="20% - Accent3 2 2 4 4" xfId="10458" xr:uid="{DF0651F6-DA55-4716-BD15-5AB03C6F54CB}"/>
    <cellStyle name="20% - Accent3 2 2 4 5" xfId="18905" xr:uid="{831DBF0D-D898-45E9-B41A-D3D7E5FC529F}"/>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2ABCBA6A-F00A-4525-A34C-7A310E892044}"/>
    <cellStyle name="20% - Accent3 2 2 5 2 2 3" xfId="25680" xr:uid="{96D6E0F8-7FE8-4E83-BC56-6EB4117DA192}"/>
    <cellStyle name="20% - Accent3 2 2 5 2 3" xfId="13016" xr:uid="{391092E0-98F0-450B-B683-9E4F19CBDAD1}"/>
    <cellStyle name="20% - Accent3 2 2 5 2 4" xfId="21463" xr:uid="{831062E4-A0A8-4096-8A91-7E73A46D0866}"/>
    <cellStyle name="20% - Accent3 2 2 5 3" xfId="5762" xr:uid="{00000000-0005-0000-0000-000063010000}"/>
    <cellStyle name="20% - Accent3 2 2 5 3 2" xfId="15088" xr:uid="{29F4325D-56F6-4E05-8AF8-EC7797220774}"/>
    <cellStyle name="20% - Accent3 2 2 5 3 3" xfId="23535" xr:uid="{56FE2EDC-6023-4D10-A41C-A56F010FD13E}"/>
    <cellStyle name="20% - Accent3 2 2 5 4" xfId="10871" xr:uid="{D8992735-5192-4E86-8DC8-E54B1338F104}"/>
    <cellStyle name="20% - Accent3 2 2 5 5" xfId="19318" xr:uid="{58E3A3AB-2AA5-4213-AECF-7AB52485D9CA}"/>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95D8B42D-6813-4BDC-8496-1FCA023E0C51}"/>
    <cellStyle name="20% - Accent3 2 2 6 2 2 3" xfId="26093" xr:uid="{0024212C-9792-4BFB-9A87-2F7C7DE4AD54}"/>
    <cellStyle name="20% - Accent3 2 2 6 2 3" xfId="13429" xr:uid="{5F297E2F-0F3F-47AD-8CDC-5718F7CABA7C}"/>
    <cellStyle name="20% - Accent3 2 2 6 2 4" xfId="21876" xr:uid="{6439C9B1-94D7-4ABB-B7EE-B5F9316C823F}"/>
    <cellStyle name="20% - Accent3 2 2 6 3" xfId="6175" xr:uid="{00000000-0005-0000-0000-000067010000}"/>
    <cellStyle name="20% - Accent3 2 2 6 3 2" xfId="15501" xr:uid="{85B1CF2C-C8F3-434B-B5BB-6C63333C4A10}"/>
    <cellStyle name="20% - Accent3 2 2 6 3 3" xfId="23948" xr:uid="{C74B19A3-1148-46CB-BD86-DFF6D3BDA40D}"/>
    <cellStyle name="20% - Accent3 2 2 6 4" xfId="11284" xr:uid="{FC1BC0C9-F8F1-4628-BC83-D2CAB11A0ED9}"/>
    <cellStyle name="20% - Accent3 2 2 6 5" xfId="19731" xr:uid="{0C0762D1-5B28-429A-9C7D-0AC287072145}"/>
    <cellStyle name="20% - Accent3 2 2 7" xfId="2282" xr:uid="{00000000-0005-0000-0000-000068010000}"/>
    <cellStyle name="20% - Accent3 2 2 7 2" xfId="6588" xr:uid="{00000000-0005-0000-0000-000069010000}"/>
    <cellStyle name="20% - Accent3 2 2 7 2 2" xfId="15914" xr:uid="{10DFC496-918A-4F4F-B9B5-AA2999AFA3C2}"/>
    <cellStyle name="20% - Accent3 2 2 7 2 3" xfId="24361" xr:uid="{B9DDA82F-A5BF-4608-8317-FE08FBAD6578}"/>
    <cellStyle name="20% - Accent3 2 2 7 3" xfId="11697" xr:uid="{8DC87723-F0CB-455D-B4FE-4DB02ECDCDC6}"/>
    <cellStyle name="20% - Accent3 2 2 7 4" xfId="20144" xr:uid="{C8BEED13-6D50-4C14-860E-BEDB0C9D1613}"/>
    <cellStyle name="20% - Accent3 2 2 8" xfId="4522" xr:uid="{00000000-0005-0000-0000-00006A010000}"/>
    <cellStyle name="20% - Accent3 2 2 8 2" xfId="13848" xr:uid="{E2595D2A-AE2E-43DB-A5BC-4C01421DEF79}"/>
    <cellStyle name="20% - Accent3 2 2 8 3" xfId="22295" xr:uid="{97D3B35C-AD2A-44E7-A0BE-3AE06A0791EB}"/>
    <cellStyle name="20% - Accent3 2 2 9" xfId="8895" xr:uid="{0ADDC6BA-FD9D-420D-8F5A-13E0A04BBC7C}"/>
    <cellStyle name="20% - Accent3 2 3" xfId="21" xr:uid="{00000000-0005-0000-0000-00006B010000}"/>
    <cellStyle name="20% - Accent3 2 3 10" xfId="18080" xr:uid="{794A3C5A-C620-4C57-9654-B7B0A41D95F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B470A297-2482-477C-BAF2-4F5EA2B22F82}"/>
    <cellStyle name="20% - Accent3 2 3 2 2 2 3" xfId="24856" xr:uid="{E3C9EBAE-E748-42E3-97CB-8C65506E2302}"/>
    <cellStyle name="20% - Accent3 2 3 2 2 3" xfId="12192" xr:uid="{0434795C-1482-4517-A074-655E0AAD81E3}"/>
    <cellStyle name="20% - Accent3 2 3 2 2 4" xfId="20639" xr:uid="{5CFEC29C-A51F-4D26-9631-38EE735C9718}"/>
    <cellStyle name="20% - Accent3 2 3 2 3" xfId="4938" xr:uid="{00000000-0005-0000-0000-00006F010000}"/>
    <cellStyle name="20% - Accent3 2 3 2 3 2" xfId="14264" xr:uid="{8AC2503F-FB48-42F1-91B8-EAD392ADAAF7}"/>
    <cellStyle name="20% - Accent3 2 3 2 3 3" xfId="22711" xr:uid="{F51DD0DA-D962-4285-94DF-D8CC4C7325B5}"/>
    <cellStyle name="20% - Accent3 2 3 2 4" xfId="9424" xr:uid="{C3588D98-6F24-4F2C-9F96-F34501405613}"/>
    <cellStyle name="20% - Accent3 2 3 2 5" xfId="10047" xr:uid="{7C1BDFA5-5CD4-430F-8FC4-7530C83FC793}"/>
    <cellStyle name="20% - Accent3 2 3 2 6" xfId="18494" xr:uid="{C9BF2AD7-E490-4C1F-B69B-88A62D1031BE}"/>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A814AB6A-3A51-4E0C-8F03-494E8A523FFB}"/>
    <cellStyle name="20% - Accent3 2 3 3 2 2 3" xfId="25269" xr:uid="{B8E680E5-B116-4AE1-9067-407AADBB9392}"/>
    <cellStyle name="20% - Accent3 2 3 3 2 3" xfId="12605" xr:uid="{0A8D5F4D-CC05-4DBD-80EA-146684398B59}"/>
    <cellStyle name="20% - Accent3 2 3 3 2 4" xfId="21052" xr:uid="{3AFC59A5-A30F-4F65-ABE1-D89C64AEDFFF}"/>
    <cellStyle name="20% - Accent3 2 3 3 3" xfId="5351" xr:uid="{00000000-0005-0000-0000-000073010000}"/>
    <cellStyle name="20% - Accent3 2 3 3 3 2" xfId="14677" xr:uid="{B5C86DA1-79D6-4BD9-942E-3C14170A94C6}"/>
    <cellStyle name="20% - Accent3 2 3 3 3 3" xfId="23124" xr:uid="{DDD6179B-87C7-4D0D-A111-97AF05B57187}"/>
    <cellStyle name="20% - Accent3 2 3 3 4" xfId="10460" xr:uid="{4A3CDADD-913B-4F42-8EAB-92A56158E32E}"/>
    <cellStyle name="20% - Accent3 2 3 3 5" xfId="18907" xr:uid="{B0E1C79D-3F8E-4AA0-8195-9A7FC3DE9C25}"/>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505F7A64-6FF9-4E58-ACA3-83491F54CA59}"/>
    <cellStyle name="20% - Accent3 2 3 4 2 2 3" xfId="25682" xr:uid="{44C886E8-C383-4DEB-B3C1-361AB22E599E}"/>
    <cellStyle name="20% - Accent3 2 3 4 2 3" xfId="13018" xr:uid="{67500EBF-CA4A-4128-BB83-18044C740A6E}"/>
    <cellStyle name="20% - Accent3 2 3 4 2 4" xfId="21465" xr:uid="{B892FA29-8DAB-4B00-B844-5F73471F974F}"/>
    <cellStyle name="20% - Accent3 2 3 4 3" xfId="5764" xr:uid="{00000000-0005-0000-0000-000077010000}"/>
    <cellStyle name="20% - Accent3 2 3 4 3 2" xfId="15090" xr:uid="{465F2D88-10CE-460B-868A-6EE881A05D2A}"/>
    <cellStyle name="20% - Accent3 2 3 4 3 3" xfId="23537" xr:uid="{DE38BE15-C1F9-4AD8-84F1-1B2E0739CF2C}"/>
    <cellStyle name="20% - Accent3 2 3 4 4" xfId="10873" xr:uid="{7EBE280A-0D14-4D17-98C4-B4BEEADCB311}"/>
    <cellStyle name="20% - Accent3 2 3 4 5" xfId="19320" xr:uid="{AC91474D-DB5B-4C73-B164-A0162882ED0E}"/>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C0F61AD6-1F08-4EB0-BD53-9F958018634F}"/>
    <cellStyle name="20% - Accent3 2 3 5 2 2 3" xfId="26095" xr:uid="{22C8F836-EAD1-45F6-9FEC-3C526B515652}"/>
    <cellStyle name="20% - Accent3 2 3 5 2 3" xfId="13431" xr:uid="{EE7517BD-F8E0-4E94-B2F5-5FF59D7ACE46}"/>
    <cellStyle name="20% - Accent3 2 3 5 2 4" xfId="21878" xr:uid="{47CBCB3C-6804-4DAB-9CCF-9F9A4EFDBDAA}"/>
    <cellStyle name="20% - Accent3 2 3 5 3" xfId="6177" xr:uid="{00000000-0005-0000-0000-00007B010000}"/>
    <cellStyle name="20% - Accent3 2 3 5 3 2" xfId="15503" xr:uid="{CF065662-BE8F-4150-9D78-105F094FD3A0}"/>
    <cellStyle name="20% - Accent3 2 3 5 3 3" xfId="23950" xr:uid="{A0A4B0BA-6FA4-4628-8841-97C7E97546E4}"/>
    <cellStyle name="20% - Accent3 2 3 5 4" xfId="11286" xr:uid="{685A3784-12A9-487C-86E5-D6FBA192944C}"/>
    <cellStyle name="20% - Accent3 2 3 5 5" xfId="19733" xr:uid="{CA682AD7-A332-4488-BEF9-255330E2F56A}"/>
    <cellStyle name="20% - Accent3 2 3 6" xfId="2284" xr:uid="{00000000-0005-0000-0000-00007C010000}"/>
    <cellStyle name="20% - Accent3 2 3 6 2" xfId="6590" xr:uid="{00000000-0005-0000-0000-00007D010000}"/>
    <cellStyle name="20% - Accent3 2 3 6 2 2" xfId="15916" xr:uid="{24BAEA44-695F-4060-A023-B7DCF8A84E84}"/>
    <cellStyle name="20% - Accent3 2 3 6 2 3" xfId="24363" xr:uid="{8E9815CC-1DD0-46DC-A1BE-E4412AAE61C9}"/>
    <cellStyle name="20% - Accent3 2 3 6 3" xfId="11699" xr:uid="{DF6B7E0A-9776-484A-ABAA-F734BBE5BBCF}"/>
    <cellStyle name="20% - Accent3 2 3 6 4" xfId="20146" xr:uid="{3E4D947B-A9CE-47BA-A752-3517FCCFBA19}"/>
    <cellStyle name="20% - Accent3 2 3 7" xfId="4524" xr:uid="{00000000-0005-0000-0000-00007E010000}"/>
    <cellStyle name="20% - Accent3 2 3 7 2" xfId="13850" xr:uid="{8F23B897-7E5F-4DA8-A3EF-61A07F5A85DC}"/>
    <cellStyle name="20% - Accent3 2 3 7 3" xfId="22297" xr:uid="{7E9B281F-670F-4ED3-AE1B-0D1C1440E1DC}"/>
    <cellStyle name="20% - Accent3 2 3 8" xfId="8999" xr:uid="{2B5D0148-B6EA-4DEA-92B1-644886C27051}"/>
    <cellStyle name="20% - Accent3 2 3 9" xfId="9633" xr:uid="{350E8D63-8CDC-41E1-B8E6-8934B447FC1D}"/>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B364B1A3-79DF-461A-B70B-AD3705E096DD}"/>
    <cellStyle name="20% - Accent3 2 4 2 2 3" xfId="24853" xr:uid="{7F2E8F40-8DAB-46EF-A5CA-5793BB367F3A}"/>
    <cellStyle name="20% - Accent3 2 4 2 3" xfId="12189" xr:uid="{81C2C4A2-C812-4958-8035-742F89143166}"/>
    <cellStyle name="20% - Accent3 2 4 2 4" xfId="20636" xr:uid="{598E0ACE-103E-439E-B7CA-74E0477E4176}"/>
    <cellStyle name="20% - Accent3 2 4 3" xfId="4935" xr:uid="{00000000-0005-0000-0000-000082010000}"/>
    <cellStyle name="20% - Accent3 2 4 3 2" xfId="14261" xr:uid="{47E70F47-1823-4E01-A9EB-13E1FA5E0245}"/>
    <cellStyle name="20% - Accent3 2 4 3 3" xfId="22708" xr:uid="{743F5EDC-3767-480C-B327-95291826C764}"/>
    <cellStyle name="20% - Accent3 2 4 4" xfId="9216" xr:uid="{A12C3877-5492-4CD3-AD22-81B3F0AB1EDD}"/>
    <cellStyle name="20% - Accent3 2 4 5" xfId="10044" xr:uid="{76251245-6829-4E06-9B5B-23A3A7A4FB8E}"/>
    <cellStyle name="20% - Accent3 2 4 6" xfId="18491" xr:uid="{1A5FCED5-6501-4519-95F3-CFD3A9B1D2CC}"/>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0AAC4539-6C37-453F-B2E3-B9CAB86C448D}"/>
    <cellStyle name="20% - Accent3 2 5 2 2 3" xfId="25266" xr:uid="{C675BD78-4897-4B2F-9319-CF9BB2DDA8F3}"/>
    <cellStyle name="20% - Accent3 2 5 2 3" xfId="12602" xr:uid="{1B62BCDC-D1D8-43EA-BB2E-FE9AF488AFFD}"/>
    <cellStyle name="20% - Accent3 2 5 2 4" xfId="21049" xr:uid="{3BBA9D10-7F82-4E82-88DC-ECD7EC8F9814}"/>
    <cellStyle name="20% - Accent3 2 5 3" xfId="5348" xr:uid="{00000000-0005-0000-0000-000086010000}"/>
    <cellStyle name="20% - Accent3 2 5 3 2" xfId="14674" xr:uid="{3380CDE7-4D54-4091-98D0-F7C2D74ABE59}"/>
    <cellStyle name="20% - Accent3 2 5 3 3" xfId="23121" xr:uid="{083CB610-D152-48CF-9C9E-7CC2372A7847}"/>
    <cellStyle name="20% - Accent3 2 5 4" xfId="10457" xr:uid="{EB828427-183D-4D4B-9675-90E949A31044}"/>
    <cellStyle name="20% - Accent3 2 5 5" xfId="18904" xr:uid="{4224350C-E697-4791-A7C4-0901B10C8937}"/>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D2DF58A9-48E3-44B5-BFD9-3C2B98A2AC7A}"/>
    <cellStyle name="20% - Accent3 2 6 2 2 3" xfId="25679" xr:uid="{3DD143EF-E37D-440C-B823-674BB89B9699}"/>
    <cellStyle name="20% - Accent3 2 6 2 3" xfId="13015" xr:uid="{41E44EEC-DAD7-42AE-89DD-9EDF142E5143}"/>
    <cellStyle name="20% - Accent3 2 6 2 4" xfId="21462" xr:uid="{F7943682-9511-4FCB-8C98-5CFF3ECEA860}"/>
    <cellStyle name="20% - Accent3 2 6 3" xfId="5761" xr:uid="{00000000-0005-0000-0000-00008A010000}"/>
    <cellStyle name="20% - Accent3 2 6 3 2" xfId="15087" xr:uid="{4DE745A6-116C-45A2-A6D4-60749495FEEA}"/>
    <cellStyle name="20% - Accent3 2 6 3 3" xfId="23534" xr:uid="{21CFAAF6-04A1-40C9-BB0C-9D1755B36A62}"/>
    <cellStyle name="20% - Accent3 2 6 4" xfId="10870" xr:uid="{F48EB817-5E21-4937-A71D-616F1DF9F773}"/>
    <cellStyle name="20% - Accent3 2 6 5" xfId="19317" xr:uid="{F7CCE078-E8D2-4228-A492-D962124B5FA1}"/>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15167F43-768C-4649-B126-23E86EEFD685}"/>
    <cellStyle name="20% - Accent3 2 7 2 2 3" xfId="26092" xr:uid="{BF8E799E-59F3-4D3B-B9EC-896EC0472A5B}"/>
    <cellStyle name="20% - Accent3 2 7 2 3" xfId="13428" xr:uid="{774EB3CB-AEDE-4B10-AACE-AE7E01368AD1}"/>
    <cellStyle name="20% - Accent3 2 7 2 4" xfId="21875" xr:uid="{F9E1D5C7-4D90-46C3-9C75-A7285ACECA72}"/>
    <cellStyle name="20% - Accent3 2 7 3" xfId="6174" xr:uid="{00000000-0005-0000-0000-00008E010000}"/>
    <cellStyle name="20% - Accent3 2 7 3 2" xfId="15500" xr:uid="{8CFD4583-1AB8-496C-98E9-EC088733C5DD}"/>
    <cellStyle name="20% - Accent3 2 7 3 3" xfId="23947" xr:uid="{FDED0859-9818-421D-86C8-EC38B2029F57}"/>
    <cellStyle name="20% - Accent3 2 7 4" xfId="11283" xr:uid="{D96828C4-98B7-47A2-96FD-7C7A3471A51A}"/>
    <cellStyle name="20% - Accent3 2 7 5" xfId="19730" xr:uid="{6D5B34FE-CC98-456F-AE6C-3ED3A3AFFEE4}"/>
    <cellStyle name="20% - Accent3 2 8" xfId="2281" xr:uid="{00000000-0005-0000-0000-00008F010000}"/>
    <cellStyle name="20% - Accent3 2 8 2" xfId="6587" xr:uid="{00000000-0005-0000-0000-000090010000}"/>
    <cellStyle name="20% - Accent3 2 8 2 2" xfId="15913" xr:uid="{B10CE187-B2C5-415D-98A0-8D66A7B28AB3}"/>
    <cellStyle name="20% - Accent3 2 8 2 3" xfId="24360" xr:uid="{FB136F20-FF08-46C7-B659-E457CD372CE4}"/>
    <cellStyle name="20% - Accent3 2 8 3" xfId="11696" xr:uid="{C56CCC9D-63B6-4A09-AAAC-388B625FA2F5}"/>
    <cellStyle name="20% - Accent3 2 8 4" xfId="20143" xr:uid="{624FB71C-AA07-4599-BEE8-CD837ECCFF59}"/>
    <cellStyle name="20% - Accent3 2 9" xfId="4521" xr:uid="{00000000-0005-0000-0000-000091010000}"/>
    <cellStyle name="20% - Accent3 2 9 2" xfId="13847" xr:uid="{62798DDF-E8E9-46EB-BD71-1C132B6BCBC4}"/>
    <cellStyle name="20% - Accent3 2 9 3" xfId="22294" xr:uid="{4590725F-6C3C-484E-83FA-0124E2629879}"/>
    <cellStyle name="20% - Accent3 3" xfId="22" xr:uid="{00000000-0005-0000-0000-000092010000}"/>
    <cellStyle name="20% - Accent3 3 10" xfId="9634" xr:uid="{679C7127-1EC5-410B-9EB2-6B9EFC58756D}"/>
    <cellStyle name="20% - Accent3 3 11" xfId="18081" xr:uid="{47B359F8-5CBB-4BDF-985C-3A9C07649945}"/>
    <cellStyle name="20% - Accent3 3 2" xfId="23" xr:uid="{00000000-0005-0000-0000-000093010000}"/>
    <cellStyle name="20% - Accent3 3 2 10" xfId="18082" xr:uid="{E1618085-96B6-46FF-BFC3-F896C5B2C356}"/>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3D96C422-C80F-45F8-A3CE-A44E92A45D90}"/>
    <cellStyle name="20% - Accent3 3 2 2 2 2 3" xfId="24858" xr:uid="{EF9C9420-FB1E-4FE6-9DD6-FA90DFC4E888}"/>
    <cellStyle name="20% - Accent3 3 2 2 2 3" xfId="12194" xr:uid="{BDCD6EEF-2BAC-40EF-A019-1EA906F2971D}"/>
    <cellStyle name="20% - Accent3 3 2 2 2 4" xfId="20641" xr:uid="{F41573EC-DF0A-4BCF-9A73-0333236F92AB}"/>
    <cellStyle name="20% - Accent3 3 2 2 3" xfId="4940" xr:uid="{00000000-0005-0000-0000-000097010000}"/>
    <cellStyle name="20% - Accent3 3 2 2 3 2" xfId="14266" xr:uid="{CD432C05-85D2-4F6E-9524-C04D37B03A53}"/>
    <cellStyle name="20% - Accent3 3 2 2 3 3" xfId="22713" xr:uid="{6E305E76-A56D-4E56-A172-BA148C203EA0}"/>
    <cellStyle name="20% - Accent3 3 2 2 4" xfId="9497" xr:uid="{43A0E151-F418-49A1-AF18-121DEB02B6D4}"/>
    <cellStyle name="20% - Accent3 3 2 2 5" xfId="10049" xr:uid="{0AA9D4AD-E438-4CF7-B8D3-EDA85E07A6B1}"/>
    <cellStyle name="20% - Accent3 3 2 2 6" xfId="18496" xr:uid="{EF9BA03A-AD1C-49DA-8E54-49598A9D42CB}"/>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A5CD8996-C122-4CA0-BCC5-570C4FF99E1A}"/>
    <cellStyle name="20% - Accent3 3 2 3 2 2 3" xfId="25271" xr:uid="{4B6A7DBC-D5CB-4DBF-9C17-0FA48DAEE07B}"/>
    <cellStyle name="20% - Accent3 3 2 3 2 3" xfId="12607" xr:uid="{DAF6FE83-42BD-43EC-834C-BE7A8CBE67CA}"/>
    <cellStyle name="20% - Accent3 3 2 3 2 4" xfId="21054" xr:uid="{AA6B782B-B7EA-407D-8721-FB54CEB35304}"/>
    <cellStyle name="20% - Accent3 3 2 3 3" xfId="5353" xr:uid="{00000000-0005-0000-0000-00009B010000}"/>
    <cellStyle name="20% - Accent3 3 2 3 3 2" xfId="14679" xr:uid="{8F9145DB-B05D-486C-A1F8-5CD9FA26D857}"/>
    <cellStyle name="20% - Accent3 3 2 3 3 3" xfId="23126" xr:uid="{3FE75FED-02F5-4033-B097-C7B4D81EFB5C}"/>
    <cellStyle name="20% - Accent3 3 2 3 4" xfId="10462" xr:uid="{27B6E030-117F-43DA-9242-AAE1A04FC404}"/>
    <cellStyle name="20% - Accent3 3 2 3 5" xfId="18909" xr:uid="{30A4A115-E2A0-44FC-B06F-FF4D21110071}"/>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DA146E3D-76DE-422A-8432-D15A538241AC}"/>
    <cellStyle name="20% - Accent3 3 2 4 2 2 3" xfId="25684" xr:uid="{67906409-5D59-4A3D-9A10-66FA59E041D7}"/>
    <cellStyle name="20% - Accent3 3 2 4 2 3" xfId="13020" xr:uid="{5385F085-E514-4B18-A05A-597A4CB665BE}"/>
    <cellStyle name="20% - Accent3 3 2 4 2 4" xfId="21467" xr:uid="{7F304D8D-9D2F-4642-906F-784A4AF8A7F0}"/>
    <cellStyle name="20% - Accent3 3 2 4 3" xfId="5766" xr:uid="{00000000-0005-0000-0000-00009F010000}"/>
    <cellStyle name="20% - Accent3 3 2 4 3 2" xfId="15092" xr:uid="{7B3FA184-81A4-46BC-9AD8-6026015A0AAB}"/>
    <cellStyle name="20% - Accent3 3 2 4 3 3" xfId="23539" xr:uid="{F104E9AB-C94C-415A-89A5-EF248295A89C}"/>
    <cellStyle name="20% - Accent3 3 2 4 4" xfId="10875" xr:uid="{1B3F84A1-8500-426B-AD06-5AA1C07E7BAA}"/>
    <cellStyle name="20% - Accent3 3 2 4 5" xfId="19322" xr:uid="{B16F7A17-5F30-4BEA-9E76-CC641D640CFF}"/>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6CB70AF0-46C9-457E-838D-0C35A4EF5959}"/>
    <cellStyle name="20% - Accent3 3 2 5 2 2 3" xfId="26097" xr:uid="{EA1F44D4-1F67-4C65-8C52-45B19CF84488}"/>
    <cellStyle name="20% - Accent3 3 2 5 2 3" xfId="13433" xr:uid="{0D95EFDD-82C1-41A3-AF58-75E56F0A4057}"/>
    <cellStyle name="20% - Accent3 3 2 5 2 4" xfId="21880" xr:uid="{FCB82877-2DC3-475D-A101-796E105BBB55}"/>
    <cellStyle name="20% - Accent3 3 2 5 3" xfId="6179" xr:uid="{00000000-0005-0000-0000-0000A3010000}"/>
    <cellStyle name="20% - Accent3 3 2 5 3 2" xfId="15505" xr:uid="{1AC694D1-CC84-4F1C-8965-E3E273BB6A51}"/>
    <cellStyle name="20% - Accent3 3 2 5 3 3" xfId="23952" xr:uid="{CF98122E-5F11-4905-923E-C7A2E2C98886}"/>
    <cellStyle name="20% - Accent3 3 2 5 4" xfId="11288" xr:uid="{9FB4D141-8AB0-4000-BA30-B8AA842ABB66}"/>
    <cellStyle name="20% - Accent3 3 2 5 5" xfId="19735" xr:uid="{E706009A-6448-4569-9AC0-F6D8CC08E856}"/>
    <cellStyle name="20% - Accent3 3 2 6" xfId="2286" xr:uid="{00000000-0005-0000-0000-0000A4010000}"/>
    <cellStyle name="20% - Accent3 3 2 6 2" xfId="6592" xr:uid="{00000000-0005-0000-0000-0000A5010000}"/>
    <cellStyle name="20% - Accent3 3 2 6 2 2" xfId="15918" xr:uid="{6FB248D4-1233-4FE1-A0F9-E6B7F93FB388}"/>
    <cellStyle name="20% - Accent3 3 2 6 2 3" xfId="24365" xr:uid="{3949A0A3-74EB-4A7C-9AC1-05BCC8391BEF}"/>
    <cellStyle name="20% - Accent3 3 2 6 3" xfId="11701" xr:uid="{18086AFB-4FCE-42A0-A7E9-78ACB75CBC57}"/>
    <cellStyle name="20% - Accent3 3 2 6 4" xfId="20148" xr:uid="{1174C725-493C-4680-B487-7EE95B2213C8}"/>
    <cellStyle name="20% - Accent3 3 2 7" xfId="4526" xr:uid="{00000000-0005-0000-0000-0000A6010000}"/>
    <cellStyle name="20% - Accent3 3 2 7 2" xfId="13852" xr:uid="{A7D32A2D-A439-4D49-8641-456310D51288}"/>
    <cellStyle name="20% - Accent3 3 2 7 3" xfId="22299" xr:uid="{F724D22F-5BC4-474C-9E55-22B9011BDA3A}"/>
    <cellStyle name="20% - Accent3 3 2 8" xfId="9072" xr:uid="{422EC144-F6F8-460E-8B93-316BBF9707FB}"/>
    <cellStyle name="20% - Accent3 3 2 9" xfId="9635" xr:uid="{E8932166-7E89-4B2D-9F97-DF2468491AED}"/>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EDDF72B1-B636-444A-A97E-7B8866EF0D1A}"/>
    <cellStyle name="20% - Accent3 3 3 2 2 3" xfId="24857" xr:uid="{02CB132F-24AB-402A-B972-C98D650C5DBB}"/>
    <cellStyle name="20% - Accent3 3 3 2 3" xfId="12193" xr:uid="{1C396682-8E6B-492A-913D-BF8E882552F2}"/>
    <cellStyle name="20% - Accent3 3 3 2 4" xfId="20640" xr:uid="{3CD192B2-5BE6-42ED-B869-51B891EB728B}"/>
    <cellStyle name="20% - Accent3 3 3 3" xfId="4939" xr:uid="{00000000-0005-0000-0000-0000AA010000}"/>
    <cellStyle name="20% - Accent3 3 3 3 2" xfId="14265" xr:uid="{3408D7F3-9FDC-4D30-9CD1-33AA4ADBEBE9}"/>
    <cellStyle name="20% - Accent3 3 3 3 3" xfId="22712" xr:uid="{FFC0384E-8120-4868-B7BF-E633815D3031}"/>
    <cellStyle name="20% - Accent3 3 3 4" xfId="9290" xr:uid="{8511D0A3-BAF4-4D49-BFEA-2ED828678819}"/>
    <cellStyle name="20% - Accent3 3 3 5" xfId="10048" xr:uid="{72A900CE-A649-440D-9657-8405C4BBF7D5}"/>
    <cellStyle name="20% - Accent3 3 3 6" xfId="18495" xr:uid="{914E4619-1A57-41E4-BF08-59834BAA6FA3}"/>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7961A9DA-4D7B-4D05-AEDF-09A014A5E2C1}"/>
    <cellStyle name="20% - Accent3 3 4 2 2 3" xfId="25270" xr:uid="{5EEF658E-103F-463F-9885-847ADD96DAEA}"/>
    <cellStyle name="20% - Accent3 3 4 2 3" xfId="12606" xr:uid="{EFF767FB-AC4E-4222-B8C6-805B99844785}"/>
    <cellStyle name="20% - Accent3 3 4 2 4" xfId="21053" xr:uid="{7698273C-B6FB-4EE8-9CE9-AF528570D35E}"/>
    <cellStyle name="20% - Accent3 3 4 3" xfId="5352" xr:uid="{00000000-0005-0000-0000-0000AE010000}"/>
    <cellStyle name="20% - Accent3 3 4 3 2" xfId="14678" xr:uid="{F9881287-F0D5-410F-A1EF-49C336E21D7A}"/>
    <cellStyle name="20% - Accent3 3 4 3 3" xfId="23125" xr:uid="{60B81AC6-FA05-43FD-A446-1AF164F6D186}"/>
    <cellStyle name="20% - Accent3 3 4 4" xfId="10461" xr:uid="{89F5D3EC-C4C4-466E-8EDA-6A8F8C916DE3}"/>
    <cellStyle name="20% - Accent3 3 4 5" xfId="18908" xr:uid="{C95EDE92-D532-40AE-B7F1-0A3F6DA7F46F}"/>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6BB81970-581F-4328-BC3C-EFE8D4F61AA5}"/>
    <cellStyle name="20% - Accent3 3 5 2 2 3" xfId="25683" xr:uid="{3AE51049-736B-4836-BB1E-094A5FA7F210}"/>
    <cellStyle name="20% - Accent3 3 5 2 3" xfId="13019" xr:uid="{1ECE995B-E8C2-466B-A713-1DE03C76326F}"/>
    <cellStyle name="20% - Accent3 3 5 2 4" xfId="21466" xr:uid="{2743374D-DF8D-4D16-A1A8-CA3142FF623B}"/>
    <cellStyle name="20% - Accent3 3 5 3" xfId="5765" xr:uid="{00000000-0005-0000-0000-0000B2010000}"/>
    <cellStyle name="20% - Accent3 3 5 3 2" xfId="15091" xr:uid="{AC983985-38F4-4561-A158-FF153EB0FAEC}"/>
    <cellStyle name="20% - Accent3 3 5 3 3" xfId="23538" xr:uid="{7A9501A8-B0FA-463A-B9C6-97638532E39F}"/>
    <cellStyle name="20% - Accent3 3 5 4" xfId="10874" xr:uid="{749AE472-35AA-4B2C-BDD3-8A48649CB3F0}"/>
    <cellStyle name="20% - Accent3 3 5 5" xfId="19321" xr:uid="{844DE16E-659E-4C67-9101-7B873303A2A1}"/>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98BBA31A-FC51-4A4E-A058-42EE33155E1C}"/>
    <cellStyle name="20% - Accent3 3 6 2 2 3" xfId="26096" xr:uid="{16241AC3-B16A-4EA2-B995-128C6E20014D}"/>
    <cellStyle name="20% - Accent3 3 6 2 3" xfId="13432" xr:uid="{27BCD0DF-A4DC-4154-9641-10B7B115F1DF}"/>
    <cellStyle name="20% - Accent3 3 6 2 4" xfId="21879" xr:uid="{EFA5E29B-1BD3-4DB7-950C-458D3CBC4255}"/>
    <cellStyle name="20% - Accent3 3 6 3" xfId="6178" xr:uid="{00000000-0005-0000-0000-0000B6010000}"/>
    <cellStyle name="20% - Accent3 3 6 3 2" xfId="15504" xr:uid="{34DF1E29-9925-46D8-8C49-FCEAB8F4B516}"/>
    <cellStyle name="20% - Accent3 3 6 3 3" xfId="23951" xr:uid="{9067BF65-712B-4EB0-9E2B-69C3E9C8A4B3}"/>
    <cellStyle name="20% - Accent3 3 6 4" xfId="11287" xr:uid="{8D71B69D-B593-46D5-960E-82DBDED37649}"/>
    <cellStyle name="20% - Accent3 3 6 5" xfId="19734" xr:uid="{CB82AE59-CF54-4F5D-92F9-5FF8CF3319D2}"/>
    <cellStyle name="20% - Accent3 3 7" xfId="2285" xr:uid="{00000000-0005-0000-0000-0000B7010000}"/>
    <cellStyle name="20% - Accent3 3 7 2" xfId="6591" xr:uid="{00000000-0005-0000-0000-0000B8010000}"/>
    <cellStyle name="20% - Accent3 3 7 2 2" xfId="15917" xr:uid="{5715CCFA-B45B-4C58-BB86-09B845EB5966}"/>
    <cellStyle name="20% - Accent3 3 7 2 3" xfId="24364" xr:uid="{D23D5F98-1223-4998-BBBD-2192F4531A23}"/>
    <cellStyle name="20% - Accent3 3 7 3" xfId="11700" xr:uid="{B603AF97-0F9F-4F6D-A9E7-B34BCCD9CFCE}"/>
    <cellStyle name="20% - Accent3 3 7 4" xfId="20147" xr:uid="{2A9FA4EA-F9EE-4641-8232-F62DF4EDB92C}"/>
    <cellStyle name="20% - Accent3 3 8" xfId="4525" xr:uid="{00000000-0005-0000-0000-0000B9010000}"/>
    <cellStyle name="20% - Accent3 3 8 2" xfId="13851" xr:uid="{05F873DB-894B-45E6-8A5A-4A31617C80DE}"/>
    <cellStyle name="20% - Accent3 3 8 3" xfId="22298" xr:uid="{73A23C5E-D9F1-4D26-81FF-03AE2B1C8C7F}"/>
    <cellStyle name="20% - Accent3 3 9" xfId="8865" xr:uid="{FFA3EBA3-F40D-47A2-8AA1-A3A9E7BB9A8E}"/>
    <cellStyle name="20% - Accent3 4" xfId="24" xr:uid="{00000000-0005-0000-0000-0000BA010000}"/>
    <cellStyle name="20% - Accent3 4 10" xfId="18083" xr:uid="{8B5279FC-4C3E-4259-A57A-7EA028B0E57C}"/>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FEC48910-A3F9-4705-B2FD-5D675E774F3D}"/>
    <cellStyle name="20% - Accent3 4 2 2 2 3" xfId="24859" xr:uid="{154EF30C-5E56-4F9B-8E20-D8FE727E8A2A}"/>
    <cellStyle name="20% - Accent3 4 2 2 3" xfId="12195" xr:uid="{6247C257-89ED-4934-8CF4-987C38085491}"/>
    <cellStyle name="20% - Accent3 4 2 2 4" xfId="20642" xr:uid="{101ECD7A-6556-49A9-A0C0-55713BBA8549}"/>
    <cellStyle name="20% - Accent3 4 2 3" xfId="4941" xr:uid="{00000000-0005-0000-0000-0000BE010000}"/>
    <cellStyle name="20% - Accent3 4 2 3 2" xfId="14267" xr:uid="{82AF7F5C-27F2-4DAD-A5B9-BD67AF9C3901}"/>
    <cellStyle name="20% - Accent3 4 2 3 3" xfId="22714" xr:uid="{0D8669CF-B19F-402F-A434-E0B24D4DC636}"/>
    <cellStyle name="20% - Accent3 4 2 4" xfId="9376" xr:uid="{92AC27CA-0B0B-4AFE-8457-D3F19BE2837F}"/>
    <cellStyle name="20% - Accent3 4 2 5" xfId="10050" xr:uid="{7A78E7DE-F694-4310-9101-C0AEBA2ACEF6}"/>
    <cellStyle name="20% - Accent3 4 2 6" xfId="18497" xr:uid="{ED458BFC-7434-4537-9740-019C13FBC69D}"/>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12021CB5-9BEA-4111-AC55-CEAFA374D89D}"/>
    <cellStyle name="20% - Accent3 4 3 2 2 3" xfId="25272" xr:uid="{81636EDD-7EBF-4846-A080-96193AC26CD6}"/>
    <cellStyle name="20% - Accent3 4 3 2 3" xfId="12608" xr:uid="{2A968EA9-A005-40B1-8EBF-919E08902428}"/>
    <cellStyle name="20% - Accent3 4 3 2 4" xfId="21055" xr:uid="{FDE10AF2-BBAE-4A87-9B51-754770D79DCB}"/>
    <cellStyle name="20% - Accent3 4 3 3" xfId="5354" xr:uid="{00000000-0005-0000-0000-0000C2010000}"/>
    <cellStyle name="20% - Accent3 4 3 3 2" xfId="14680" xr:uid="{5AD93742-75BF-440A-9926-03057FD57CA8}"/>
    <cellStyle name="20% - Accent3 4 3 3 3" xfId="23127" xr:uid="{9C27B2E1-80BB-41F4-8C26-987A600404FE}"/>
    <cellStyle name="20% - Accent3 4 3 4" xfId="10463" xr:uid="{5B65F429-9E86-4D06-B9FE-5CE341408D96}"/>
    <cellStyle name="20% - Accent3 4 3 5" xfId="18910" xr:uid="{7257816A-1B97-499D-A9AE-B6AA364530C9}"/>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F983A288-6D45-4264-893F-6F6C45EC3F12}"/>
    <cellStyle name="20% - Accent3 4 4 2 2 3" xfId="25685" xr:uid="{C8DB84C2-78C9-44A2-8F05-E21F8E315F04}"/>
    <cellStyle name="20% - Accent3 4 4 2 3" xfId="13021" xr:uid="{80F205F4-F88D-4FB0-B4FC-97491D029FCE}"/>
    <cellStyle name="20% - Accent3 4 4 2 4" xfId="21468" xr:uid="{6AD8BB04-8C8F-4827-A1AD-0A5759E7C966}"/>
    <cellStyle name="20% - Accent3 4 4 3" xfId="5767" xr:uid="{00000000-0005-0000-0000-0000C6010000}"/>
    <cellStyle name="20% - Accent3 4 4 3 2" xfId="15093" xr:uid="{E9E46B50-F6A7-4907-84AD-48B70053BBA8}"/>
    <cellStyle name="20% - Accent3 4 4 3 3" xfId="23540" xr:uid="{792062D2-F9E5-4BE7-962F-774424EF861F}"/>
    <cellStyle name="20% - Accent3 4 4 4" xfId="10876" xr:uid="{5F088E2A-9ECE-492F-BD86-62C69EE1A014}"/>
    <cellStyle name="20% - Accent3 4 4 5" xfId="19323" xr:uid="{B8DF2750-389B-491C-A456-6D6DE5C65CF7}"/>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93E8B1E0-0694-422C-99B2-46A9A8CABD80}"/>
    <cellStyle name="20% - Accent3 4 5 2 2 3" xfId="26098" xr:uid="{746FF32E-8959-4E48-B1A6-57F79EB53E59}"/>
    <cellStyle name="20% - Accent3 4 5 2 3" xfId="13434" xr:uid="{9CAD6175-AE7E-40DD-8F5C-66776FEBD903}"/>
    <cellStyle name="20% - Accent3 4 5 2 4" xfId="21881" xr:uid="{5F0F30A4-0727-4072-95AB-AB45879EEDF6}"/>
    <cellStyle name="20% - Accent3 4 5 3" xfId="6180" xr:uid="{00000000-0005-0000-0000-0000CA010000}"/>
    <cellStyle name="20% - Accent3 4 5 3 2" xfId="15506" xr:uid="{D8B1F9E0-104F-409B-9D4E-B304949A74F9}"/>
    <cellStyle name="20% - Accent3 4 5 3 3" xfId="23953" xr:uid="{96A35843-23D3-4B44-8909-B762150292C9}"/>
    <cellStyle name="20% - Accent3 4 5 4" xfId="11289" xr:uid="{C663C702-6698-434B-8CFC-EB7D14AF92FE}"/>
    <cellStyle name="20% - Accent3 4 5 5" xfId="19736" xr:uid="{04580BD7-6896-4402-ADBF-5F650585E314}"/>
    <cellStyle name="20% - Accent3 4 6" xfId="2287" xr:uid="{00000000-0005-0000-0000-0000CB010000}"/>
    <cellStyle name="20% - Accent3 4 6 2" xfId="6593" xr:uid="{00000000-0005-0000-0000-0000CC010000}"/>
    <cellStyle name="20% - Accent3 4 6 2 2" xfId="15919" xr:uid="{785A5561-FAC9-42BC-8972-839B8CD51DCD}"/>
    <cellStyle name="20% - Accent3 4 6 2 3" xfId="24366" xr:uid="{F5FDBB20-FF80-47CB-B025-DD927A6B1136}"/>
    <cellStyle name="20% - Accent3 4 6 3" xfId="11702" xr:uid="{E37299EA-F322-473D-B526-CAA1C7AB5A43}"/>
    <cellStyle name="20% - Accent3 4 6 4" xfId="20149" xr:uid="{00CBF480-7B55-4AEC-B660-33BA837218C1}"/>
    <cellStyle name="20% - Accent3 4 7" xfId="4527" xr:uid="{00000000-0005-0000-0000-0000CD010000}"/>
    <cellStyle name="20% - Accent3 4 7 2" xfId="13853" xr:uid="{F61043F0-18BC-4F88-9395-D8437FD4B003}"/>
    <cellStyle name="20% - Accent3 4 7 3" xfId="22300" xr:uid="{76483718-B1D0-453A-8105-1215A4F38E28}"/>
    <cellStyle name="20% - Accent3 4 8" xfId="8951" xr:uid="{3CB7770B-4F12-4C44-B65D-06C641FEE851}"/>
    <cellStyle name="20% - Accent3 4 9" xfId="9636" xr:uid="{B0F51F65-8686-4211-AE5D-2D569C923F64}"/>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6E6C9CDB-3C2F-4BC9-B0D4-69D06E94E815}"/>
    <cellStyle name="20% - Accent3 5 2 2 3" xfId="24852" xr:uid="{060B1035-CD47-4D56-A89D-0615FEFC53B1}"/>
    <cellStyle name="20% - Accent3 5 2 3" xfId="12188" xr:uid="{D9F48400-8029-4878-B0B6-368EBD5C8BA4}"/>
    <cellStyle name="20% - Accent3 5 2 4" xfId="20635" xr:uid="{3B48D91F-A2AF-45FE-96C7-2B116FD6E5F7}"/>
    <cellStyle name="20% - Accent3 5 3" xfId="4934" xr:uid="{00000000-0005-0000-0000-0000D1010000}"/>
    <cellStyle name="20% - Accent3 5 3 2" xfId="14260" xr:uid="{C188C802-AFEF-4736-8F1A-B73E198B6580}"/>
    <cellStyle name="20% - Accent3 5 3 3" xfId="22707" xr:uid="{AB58CABB-E49B-40A2-9282-12E96E69F7F0}"/>
    <cellStyle name="20% - Accent3 5 4" xfId="9184" xr:uid="{F51B2D95-9593-4370-A6D2-AFEF087D7920}"/>
    <cellStyle name="20% - Accent3 5 5" xfId="10043" xr:uid="{886FC5F0-7FC9-46EE-AA06-944927D88C1F}"/>
    <cellStyle name="20% - Accent3 5 6" xfId="18490" xr:uid="{99C33DA7-E6AF-4E22-8F57-BDEA7D6475CF}"/>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DDFEF259-651D-4394-80FE-0CC8144EB888}"/>
    <cellStyle name="20% - Accent3 6 2 2 3" xfId="25265" xr:uid="{6056819D-B2C6-41A8-982D-7D839FE6C8E8}"/>
    <cellStyle name="20% - Accent3 6 2 3" xfId="12601" xr:uid="{41972F2B-89A7-45BE-9DCB-FFDE0FFB37A3}"/>
    <cellStyle name="20% - Accent3 6 2 4" xfId="21048" xr:uid="{A4C83799-2F23-48D7-93F4-22EA68032125}"/>
    <cellStyle name="20% - Accent3 6 3" xfId="5347" xr:uid="{00000000-0005-0000-0000-0000D5010000}"/>
    <cellStyle name="20% - Accent3 6 3 2" xfId="14673" xr:uid="{2CAC0037-08B5-4485-8D4B-C87492D330CE}"/>
    <cellStyle name="20% - Accent3 6 3 3" xfId="23120" xr:uid="{7E28098D-3415-40D4-9CCA-02CECB0D2221}"/>
    <cellStyle name="20% - Accent3 6 4" xfId="10456" xr:uid="{A81A5C85-C924-444D-874E-E1F8B945F48E}"/>
    <cellStyle name="20% - Accent3 6 5" xfId="18903" xr:uid="{BBC67E7F-686B-4999-8053-F7B1312C0583}"/>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831E5092-96F6-4750-95F5-33E242DDB8AE}"/>
    <cellStyle name="20% - Accent3 7 2 2 3" xfId="25678" xr:uid="{4CA2FA0B-295C-4955-B649-40C22F19F703}"/>
    <cellStyle name="20% - Accent3 7 2 3" xfId="13014" xr:uid="{80AB7538-959A-40A9-B365-79E1F81FEDA0}"/>
    <cellStyle name="20% - Accent3 7 2 4" xfId="21461" xr:uid="{590E4F9E-1B9F-4CDB-90F9-AC1CB69FC413}"/>
    <cellStyle name="20% - Accent3 7 3" xfId="5760" xr:uid="{00000000-0005-0000-0000-0000D9010000}"/>
    <cellStyle name="20% - Accent3 7 3 2" xfId="15086" xr:uid="{BB96C4D8-E570-4D7B-A393-80D1B4E65B72}"/>
    <cellStyle name="20% - Accent3 7 3 3" xfId="23533" xr:uid="{EB3486AB-3F21-4F53-B83B-9E106D4DACAB}"/>
    <cellStyle name="20% - Accent3 7 4" xfId="10869" xr:uid="{CFDA068D-2648-4C79-B511-EF6C44BAC06E}"/>
    <cellStyle name="20% - Accent3 7 5" xfId="19316" xr:uid="{71E6F0E7-9EE4-4C4F-95CD-E75EE9C7AD75}"/>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2B6C830B-8AB0-49C0-8B45-F2CBB4A74F36}"/>
    <cellStyle name="20% - Accent3 8 2 2 3" xfId="26091" xr:uid="{53CEC488-01A2-45FC-AF2C-1A531011829B}"/>
    <cellStyle name="20% - Accent3 8 2 3" xfId="13427" xr:uid="{AC069064-07E1-46D8-AD99-F2CED4B256CB}"/>
    <cellStyle name="20% - Accent3 8 2 4" xfId="21874" xr:uid="{65275911-CE12-4A87-86EE-F7E62353B462}"/>
    <cellStyle name="20% - Accent3 8 3" xfId="6173" xr:uid="{00000000-0005-0000-0000-0000DD010000}"/>
    <cellStyle name="20% - Accent3 8 3 2" xfId="15499" xr:uid="{6DB51F83-99E5-4590-9E09-F67FC2179D6A}"/>
    <cellStyle name="20% - Accent3 8 3 3" xfId="23946" xr:uid="{5F37F790-47C8-43AF-8F47-6D6C476F4AF3}"/>
    <cellStyle name="20% - Accent3 8 4" xfId="11282" xr:uid="{E669DD27-6AA3-43B1-87AB-3CFFD7B20F8E}"/>
    <cellStyle name="20% - Accent3 8 5" xfId="19729" xr:uid="{4E36F494-A794-4EA2-824A-D2D0E4C91D15}"/>
    <cellStyle name="20% - Accent3 9" xfId="2280" xr:uid="{00000000-0005-0000-0000-0000DE010000}"/>
    <cellStyle name="20% - Accent3 9 2" xfId="6586" xr:uid="{00000000-0005-0000-0000-0000DF010000}"/>
    <cellStyle name="20% - Accent3 9 2 2" xfId="15912" xr:uid="{C57D2A54-B4BF-4CD8-81E7-A10CA9A3573F}"/>
    <cellStyle name="20% - Accent3 9 2 3" xfId="24359" xr:uid="{E2B95B9D-DC5C-42EA-BE0C-6FC0FCE2207C}"/>
    <cellStyle name="20% - Accent3 9 3" xfId="11695" xr:uid="{30D79D09-6E6E-46CD-9FCD-DD2CD1F40ED6}"/>
    <cellStyle name="20% - Accent3 9 4" xfId="20142" xr:uid="{54069AEC-D038-4A73-AE79-1B1A077345A4}"/>
    <cellStyle name="20% - Accent4" xfId="25" builtinId="42" customBuiltin="1"/>
    <cellStyle name="20% - Accent4 10" xfId="4528" xr:uid="{00000000-0005-0000-0000-0000E1010000}"/>
    <cellStyle name="20% - Accent4 10 2" xfId="13854" xr:uid="{EBE66A92-28A6-46D3-8558-7B847D3AE5B2}"/>
    <cellStyle name="20% - Accent4 10 3" xfId="22301" xr:uid="{BDAF1E02-A938-4B8E-982D-44B2129F91C1}"/>
    <cellStyle name="20% - Accent4 11" xfId="8764" xr:uid="{4A9BF508-806C-496D-AEC5-5842E4A62892}"/>
    <cellStyle name="20% - Accent4 12" xfId="9637" xr:uid="{2C570C64-44C8-4F4E-B1C4-B732215596C2}"/>
    <cellStyle name="20% - Accent4 13" xfId="18084" xr:uid="{C8C4D8AD-7BD5-4571-9D41-332BA891C70E}"/>
    <cellStyle name="20% - Accent4 2" xfId="26" xr:uid="{00000000-0005-0000-0000-0000E2010000}"/>
    <cellStyle name="20% - Accent4 2 10" xfId="8794" xr:uid="{31A2F477-5237-45C2-B43F-25AC049A95FF}"/>
    <cellStyle name="20% - Accent4 2 11" xfId="9638" xr:uid="{D516D2A6-7B9E-4C14-B0DE-1838474C3567}"/>
    <cellStyle name="20% - Accent4 2 12" xfId="18085" xr:uid="{ED3B4A4A-D57A-441F-A4F8-791113F2FE9F}"/>
    <cellStyle name="20% - Accent4 2 2" xfId="27" xr:uid="{00000000-0005-0000-0000-0000E3010000}"/>
    <cellStyle name="20% - Accent4 2 2 10" xfId="9639" xr:uid="{A7692514-BE84-4D39-91F1-E7AA9E1AE60D}"/>
    <cellStyle name="20% - Accent4 2 2 11" xfId="18086" xr:uid="{893E8922-C8B8-44A2-8940-3F78EBDA7E04}"/>
    <cellStyle name="20% - Accent4 2 2 2" xfId="28" xr:uid="{00000000-0005-0000-0000-0000E4010000}"/>
    <cellStyle name="20% - Accent4 2 2 2 10" xfId="18087" xr:uid="{5B7875B9-5B49-428E-85E5-BEBCE328729B}"/>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08D96F33-FE10-4DE0-9A8A-48ABA1194EC5}"/>
    <cellStyle name="20% - Accent4 2 2 2 2 2 2 3" xfId="24863" xr:uid="{58334934-1D5D-49F4-B842-172A47048EC2}"/>
    <cellStyle name="20% - Accent4 2 2 2 2 2 3" xfId="12199" xr:uid="{1F319952-2050-4D05-ADB4-97A7FDE25009}"/>
    <cellStyle name="20% - Accent4 2 2 2 2 2 4" xfId="20646" xr:uid="{C79165DC-9540-4C95-8A68-EDA738A49F41}"/>
    <cellStyle name="20% - Accent4 2 2 2 2 3" xfId="4945" xr:uid="{00000000-0005-0000-0000-0000E8010000}"/>
    <cellStyle name="20% - Accent4 2 2 2 2 3 2" xfId="14271" xr:uid="{5F78909B-9E7A-43F5-ABDE-1514F480DE90}"/>
    <cellStyle name="20% - Accent4 2 2 2 2 3 3" xfId="22718" xr:uid="{715D12F1-131C-4FD7-B14E-3A15E1351A13}"/>
    <cellStyle name="20% - Accent4 2 2 2 2 4" xfId="9529" xr:uid="{0C40CE19-1873-4316-818D-CC943AAFBB7B}"/>
    <cellStyle name="20% - Accent4 2 2 2 2 5" xfId="10054" xr:uid="{41685036-ABB8-4C29-B7DD-E6EB1BEF46A6}"/>
    <cellStyle name="20% - Accent4 2 2 2 2 6" xfId="18501" xr:uid="{3FAF9908-2487-464F-930D-660636F4F141}"/>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D741EF46-C562-4415-8326-5E6CFEC2578B}"/>
    <cellStyle name="20% - Accent4 2 2 2 3 2 2 3" xfId="25276" xr:uid="{C1A4BD37-526D-44AA-8861-2B583B207811}"/>
    <cellStyle name="20% - Accent4 2 2 2 3 2 3" xfId="12612" xr:uid="{D77433B4-42CA-42FF-B37C-CAAE8E74309F}"/>
    <cellStyle name="20% - Accent4 2 2 2 3 2 4" xfId="21059" xr:uid="{5219A0A9-90CC-4D74-924B-4629030B5BE9}"/>
    <cellStyle name="20% - Accent4 2 2 2 3 3" xfId="5358" xr:uid="{00000000-0005-0000-0000-0000EC010000}"/>
    <cellStyle name="20% - Accent4 2 2 2 3 3 2" xfId="14684" xr:uid="{5EE749EE-EF80-4686-A63F-8CDAC94A7FAF}"/>
    <cellStyle name="20% - Accent4 2 2 2 3 3 3" xfId="23131" xr:uid="{73256D16-0C33-481D-9969-32E77E796C33}"/>
    <cellStyle name="20% - Accent4 2 2 2 3 4" xfId="10467" xr:uid="{3C8A059F-3799-4C40-AB58-5D660A980465}"/>
    <cellStyle name="20% - Accent4 2 2 2 3 5" xfId="18914" xr:uid="{A2E14E0C-2C2D-4FE4-AC41-518EFBE3EFBC}"/>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4A8E9599-6165-453B-9F12-EDB55CA52E16}"/>
    <cellStyle name="20% - Accent4 2 2 2 4 2 2 3" xfId="25689" xr:uid="{798F2193-C99F-41ED-A30B-BD70ECF625DD}"/>
    <cellStyle name="20% - Accent4 2 2 2 4 2 3" xfId="13025" xr:uid="{2BB29137-467C-4093-A5F6-2145DEBC3D1D}"/>
    <cellStyle name="20% - Accent4 2 2 2 4 2 4" xfId="21472" xr:uid="{8F486C65-CE10-4280-8775-E13089C62C8C}"/>
    <cellStyle name="20% - Accent4 2 2 2 4 3" xfId="5771" xr:uid="{00000000-0005-0000-0000-0000F0010000}"/>
    <cellStyle name="20% - Accent4 2 2 2 4 3 2" xfId="15097" xr:uid="{732498C8-892D-4AB3-9DF3-CFCA5AA9A7B4}"/>
    <cellStyle name="20% - Accent4 2 2 2 4 3 3" xfId="23544" xr:uid="{DCDD5A3A-393E-4419-8E67-872B255D7974}"/>
    <cellStyle name="20% - Accent4 2 2 2 4 4" xfId="10880" xr:uid="{E489D7E0-50B3-4C34-89F3-742D556CE8F6}"/>
    <cellStyle name="20% - Accent4 2 2 2 4 5" xfId="19327" xr:uid="{E6F7E025-895E-4FFA-845C-F5C6B41CA526}"/>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4B32F68A-A814-42F5-9337-5867C283DCE5}"/>
    <cellStyle name="20% - Accent4 2 2 2 5 2 2 3" xfId="26102" xr:uid="{E6ED04FD-CC65-4270-8069-11917958EC9C}"/>
    <cellStyle name="20% - Accent4 2 2 2 5 2 3" xfId="13438" xr:uid="{992257AF-D017-4513-996F-8D534B251891}"/>
    <cellStyle name="20% - Accent4 2 2 2 5 2 4" xfId="21885" xr:uid="{80BADBAD-1AA3-4A53-A48C-DCC7600A9374}"/>
    <cellStyle name="20% - Accent4 2 2 2 5 3" xfId="6184" xr:uid="{00000000-0005-0000-0000-0000F4010000}"/>
    <cellStyle name="20% - Accent4 2 2 2 5 3 2" xfId="15510" xr:uid="{1B3A2489-D825-4B0B-BB7A-456FAD21158A}"/>
    <cellStyle name="20% - Accent4 2 2 2 5 3 3" xfId="23957" xr:uid="{2B04B986-238F-47A0-A29A-8E8D789C46F3}"/>
    <cellStyle name="20% - Accent4 2 2 2 5 4" xfId="11293" xr:uid="{AEFD9F43-A76A-472E-8B38-410BC27A1A4A}"/>
    <cellStyle name="20% - Accent4 2 2 2 5 5" xfId="19740" xr:uid="{F40B8A48-EB7D-4D8E-B2A7-A4E3B11E7540}"/>
    <cellStyle name="20% - Accent4 2 2 2 6" xfId="2291" xr:uid="{00000000-0005-0000-0000-0000F5010000}"/>
    <cellStyle name="20% - Accent4 2 2 2 6 2" xfId="6597" xr:uid="{00000000-0005-0000-0000-0000F6010000}"/>
    <cellStyle name="20% - Accent4 2 2 2 6 2 2" xfId="15923" xr:uid="{F77BC7DF-E561-49BD-8006-90B6F0D051CD}"/>
    <cellStyle name="20% - Accent4 2 2 2 6 2 3" xfId="24370" xr:uid="{401D7E6C-B995-4B82-A9B8-F23F0584ECE9}"/>
    <cellStyle name="20% - Accent4 2 2 2 6 3" xfId="11706" xr:uid="{D77C5461-3FA7-4974-8657-A39DF8D9FEFD}"/>
    <cellStyle name="20% - Accent4 2 2 2 6 4" xfId="20153" xr:uid="{1C7CB521-4076-43EC-8E2C-E40D003714ED}"/>
    <cellStyle name="20% - Accent4 2 2 2 7" xfId="4531" xr:uid="{00000000-0005-0000-0000-0000F7010000}"/>
    <cellStyle name="20% - Accent4 2 2 2 7 2" xfId="13857" xr:uid="{1A71E625-5E84-414E-BB39-56A7288C3AAD}"/>
    <cellStyle name="20% - Accent4 2 2 2 7 3" xfId="22304" xr:uid="{BE354D08-1566-4C26-8B0C-19E248BE76BC}"/>
    <cellStyle name="20% - Accent4 2 2 2 8" xfId="9104" xr:uid="{526BE306-22BA-4A85-81B2-34AEB56F0D90}"/>
    <cellStyle name="20% - Accent4 2 2 2 9" xfId="9640" xr:uid="{8755D823-C78B-416C-8D1B-56BBBA598E22}"/>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D11B4E96-D2C9-461F-97A7-E10ECE9C5B45}"/>
    <cellStyle name="20% - Accent4 2 2 3 2 2 3" xfId="24862" xr:uid="{9E9BAEC6-00E4-4511-A955-21FC37D406F4}"/>
    <cellStyle name="20% - Accent4 2 2 3 2 3" xfId="12198" xr:uid="{DB4BE17F-4001-45E8-B312-19DD471EE3A1}"/>
    <cellStyle name="20% - Accent4 2 2 3 2 4" xfId="20645" xr:uid="{833756A3-5846-45B1-912D-4B36BB455325}"/>
    <cellStyle name="20% - Accent4 2 2 3 3" xfId="4944" xr:uid="{00000000-0005-0000-0000-0000FB010000}"/>
    <cellStyle name="20% - Accent4 2 2 3 3 2" xfId="14270" xr:uid="{44823AEA-5D9A-4FC3-B75B-4090358C1FEE}"/>
    <cellStyle name="20% - Accent4 2 2 3 3 3" xfId="22717" xr:uid="{53891635-A654-4FD5-8370-4CA3B7F64AEF}"/>
    <cellStyle name="20% - Accent4 2 2 3 4" xfId="9322" xr:uid="{003BBE99-27AA-4036-A373-4475953A88F4}"/>
    <cellStyle name="20% - Accent4 2 2 3 5" xfId="10053" xr:uid="{6BAC25CA-2DE9-4AA4-AC90-3B2C4889BE7C}"/>
    <cellStyle name="20% - Accent4 2 2 3 6" xfId="18500" xr:uid="{4707D12E-FAE8-46CD-876F-81278459FC52}"/>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B3695C47-0FB7-4C63-9E62-72D92D578A45}"/>
    <cellStyle name="20% - Accent4 2 2 4 2 2 3" xfId="25275" xr:uid="{06CBB623-9703-47F6-AA35-031ED6B127EC}"/>
    <cellStyle name="20% - Accent4 2 2 4 2 3" xfId="12611" xr:uid="{97D12FF8-9787-474A-A9AF-5B7526C7A5F4}"/>
    <cellStyle name="20% - Accent4 2 2 4 2 4" xfId="21058" xr:uid="{0C73A86F-5402-4BEE-81D8-427CCC9A8FB6}"/>
    <cellStyle name="20% - Accent4 2 2 4 3" xfId="5357" xr:uid="{00000000-0005-0000-0000-0000FF010000}"/>
    <cellStyle name="20% - Accent4 2 2 4 3 2" xfId="14683" xr:uid="{4FB9390F-4786-4A5E-9477-AE5379D2DA93}"/>
    <cellStyle name="20% - Accent4 2 2 4 3 3" xfId="23130" xr:uid="{D6919B06-DFC4-4415-9A7C-1A15198F82D6}"/>
    <cellStyle name="20% - Accent4 2 2 4 4" xfId="10466" xr:uid="{FDAA9FE7-FD0F-4D69-A5F6-DF25EB2D56C3}"/>
    <cellStyle name="20% - Accent4 2 2 4 5" xfId="18913" xr:uid="{DD4629DD-94D4-4C18-B8D7-A5DC5A2649EC}"/>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7CF3A44B-E410-41AF-9BCE-B8DC39177F22}"/>
    <cellStyle name="20% - Accent4 2 2 5 2 2 3" xfId="25688" xr:uid="{6EA7F06A-3DFE-44AA-A4F5-9B1018148710}"/>
    <cellStyle name="20% - Accent4 2 2 5 2 3" xfId="13024" xr:uid="{A53B76EE-8F81-4D1A-BAC4-81B638741C56}"/>
    <cellStyle name="20% - Accent4 2 2 5 2 4" xfId="21471" xr:uid="{41DC10FC-29D7-49A7-8B91-110864046A65}"/>
    <cellStyle name="20% - Accent4 2 2 5 3" xfId="5770" xr:uid="{00000000-0005-0000-0000-000003020000}"/>
    <cellStyle name="20% - Accent4 2 2 5 3 2" xfId="15096" xr:uid="{702C5A15-D9A2-4FEC-B1C0-5324DED1A539}"/>
    <cellStyle name="20% - Accent4 2 2 5 3 3" xfId="23543" xr:uid="{7A19718B-68DA-45C3-8620-2A3989919637}"/>
    <cellStyle name="20% - Accent4 2 2 5 4" xfId="10879" xr:uid="{D74A36EC-F714-4656-BDF4-6AB6A394AAB0}"/>
    <cellStyle name="20% - Accent4 2 2 5 5" xfId="19326" xr:uid="{7EF8BD3D-AD3A-4C65-87DE-598FA310B23D}"/>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1F2DE7B8-58FB-4F4A-B60C-8D1278D1701F}"/>
    <cellStyle name="20% - Accent4 2 2 6 2 2 3" xfId="26101" xr:uid="{9EBAE118-8F5A-4811-A633-9565B9A9DE25}"/>
    <cellStyle name="20% - Accent4 2 2 6 2 3" xfId="13437" xr:uid="{88A52E58-7308-4EB2-A226-B9CAB3445D74}"/>
    <cellStyle name="20% - Accent4 2 2 6 2 4" xfId="21884" xr:uid="{BBD100DB-405D-43E4-A680-9A8E9D68CAD4}"/>
    <cellStyle name="20% - Accent4 2 2 6 3" xfId="6183" xr:uid="{00000000-0005-0000-0000-000007020000}"/>
    <cellStyle name="20% - Accent4 2 2 6 3 2" xfId="15509" xr:uid="{F2083943-23E7-4364-BE9F-BBD2AE8DE493}"/>
    <cellStyle name="20% - Accent4 2 2 6 3 3" xfId="23956" xr:uid="{54F33531-DDDC-431C-9DD3-EA8A1D004638}"/>
    <cellStyle name="20% - Accent4 2 2 6 4" xfId="11292" xr:uid="{A4843634-DA3D-4794-B863-428DDD851B92}"/>
    <cellStyle name="20% - Accent4 2 2 6 5" xfId="19739" xr:uid="{D4D0E5E7-4C91-480F-BF9E-E8FDD344D9F2}"/>
    <cellStyle name="20% - Accent4 2 2 7" xfId="2290" xr:uid="{00000000-0005-0000-0000-000008020000}"/>
    <cellStyle name="20% - Accent4 2 2 7 2" xfId="6596" xr:uid="{00000000-0005-0000-0000-000009020000}"/>
    <cellStyle name="20% - Accent4 2 2 7 2 2" xfId="15922" xr:uid="{A390D5D2-7CF1-4598-9269-425561BC207D}"/>
    <cellStyle name="20% - Accent4 2 2 7 2 3" xfId="24369" xr:uid="{A3D8084B-51B0-488D-8A2B-81C9A256B670}"/>
    <cellStyle name="20% - Accent4 2 2 7 3" xfId="11705" xr:uid="{0A9078C8-6877-4119-BA3F-CE4F6422C7D4}"/>
    <cellStyle name="20% - Accent4 2 2 7 4" xfId="20152" xr:uid="{34B50E4E-1A02-428F-81DE-1FA033F2F5D2}"/>
    <cellStyle name="20% - Accent4 2 2 8" xfId="4530" xr:uid="{00000000-0005-0000-0000-00000A020000}"/>
    <cellStyle name="20% - Accent4 2 2 8 2" xfId="13856" xr:uid="{CBB7D4FE-0D7B-4BC5-864A-0F0FC7964185}"/>
    <cellStyle name="20% - Accent4 2 2 8 3" xfId="22303" xr:uid="{8F80EEB2-E2F5-480F-A0B9-E8E803D68CDC}"/>
    <cellStyle name="20% - Accent4 2 2 9" xfId="8897" xr:uid="{3A58A73C-0193-4EAC-8E12-5BF8743CE9BA}"/>
    <cellStyle name="20% - Accent4 2 3" xfId="29" xr:uid="{00000000-0005-0000-0000-00000B020000}"/>
    <cellStyle name="20% - Accent4 2 3 10" xfId="18088" xr:uid="{759AB0B4-6253-410C-B9D0-A239E167B38F}"/>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B43CE13E-1359-4608-852C-45C96184D6EF}"/>
    <cellStyle name="20% - Accent4 2 3 2 2 2 3" xfId="24864" xr:uid="{BC23B789-CB53-4A53-BD52-898CC0EDE16B}"/>
    <cellStyle name="20% - Accent4 2 3 2 2 3" xfId="12200" xr:uid="{DADB6C2B-7541-4A88-82D6-8C854D40EEFA}"/>
    <cellStyle name="20% - Accent4 2 3 2 2 4" xfId="20647" xr:uid="{8DD36C72-0987-4C67-8F6C-58BB9A9D7098}"/>
    <cellStyle name="20% - Accent4 2 3 2 3" xfId="4946" xr:uid="{00000000-0005-0000-0000-00000F020000}"/>
    <cellStyle name="20% - Accent4 2 3 2 3 2" xfId="14272" xr:uid="{96AA3900-A8E0-4C6A-B54C-D66DF8A772E9}"/>
    <cellStyle name="20% - Accent4 2 3 2 3 3" xfId="22719" xr:uid="{6B632D9F-B5E9-4A14-95D8-63F645D73D4D}"/>
    <cellStyle name="20% - Accent4 2 3 2 4" xfId="9426" xr:uid="{5B247D51-FBFD-4799-8395-E3F1C04297B8}"/>
    <cellStyle name="20% - Accent4 2 3 2 5" xfId="10055" xr:uid="{10BEF46F-7CE4-4224-863B-987430925BFF}"/>
    <cellStyle name="20% - Accent4 2 3 2 6" xfId="18502" xr:uid="{8120351A-BB3E-4BD2-B931-BBE167AAACB1}"/>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B9071450-6ABF-48C6-B1A8-DE06D0ABB563}"/>
    <cellStyle name="20% - Accent4 2 3 3 2 2 3" xfId="25277" xr:uid="{EE9EEADB-0BF0-4474-B132-A0EF912D132C}"/>
    <cellStyle name="20% - Accent4 2 3 3 2 3" xfId="12613" xr:uid="{1E26A914-92EB-4BD3-9E00-C071CBAAD727}"/>
    <cellStyle name="20% - Accent4 2 3 3 2 4" xfId="21060" xr:uid="{42C0BCEF-F3FE-4949-906F-C4610E077577}"/>
    <cellStyle name="20% - Accent4 2 3 3 3" xfId="5359" xr:uid="{00000000-0005-0000-0000-000013020000}"/>
    <cellStyle name="20% - Accent4 2 3 3 3 2" xfId="14685" xr:uid="{685DC188-220D-4667-AA9B-7EE509E7D02E}"/>
    <cellStyle name="20% - Accent4 2 3 3 3 3" xfId="23132" xr:uid="{1675105A-5A4A-4C1F-9683-3FCB186CC5CB}"/>
    <cellStyle name="20% - Accent4 2 3 3 4" xfId="10468" xr:uid="{6932E4F3-5398-4C36-B3AD-8518198B2733}"/>
    <cellStyle name="20% - Accent4 2 3 3 5" xfId="18915" xr:uid="{B6BB9F43-4D45-4C25-8517-F87464CCEA06}"/>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6C9BFE2A-FF23-49E2-8F5B-E258EFC7FFF8}"/>
    <cellStyle name="20% - Accent4 2 3 4 2 2 3" xfId="25690" xr:uid="{0DC4DEFA-9BA9-4FD3-A34C-ABC42E1F06EF}"/>
    <cellStyle name="20% - Accent4 2 3 4 2 3" xfId="13026" xr:uid="{23DE1940-C510-4641-8B70-8A579669BEA7}"/>
    <cellStyle name="20% - Accent4 2 3 4 2 4" xfId="21473" xr:uid="{45D513FD-A4E9-45A0-82BE-11B9CC5BECD9}"/>
    <cellStyle name="20% - Accent4 2 3 4 3" xfId="5772" xr:uid="{00000000-0005-0000-0000-000017020000}"/>
    <cellStyle name="20% - Accent4 2 3 4 3 2" xfId="15098" xr:uid="{344D0D6C-D391-4DBA-B723-464433DF01F2}"/>
    <cellStyle name="20% - Accent4 2 3 4 3 3" xfId="23545" xr:uid="{A048BBE4-4ED0-48C0-AD10-0A750252FB95}"/>
    <cellStyle name="20% - Accent4 2 3 4 4" xfId="10881" xr:uid="{3643B5E8-8736-4E82-BF44-CC9D8F88733D}"/>
    <cellStyle name="20% - Accent4 2 3 4 5" xfId="19328" xr:uid="{9486F31F-220E-4B8C-8457-DB58CCD2A1E4}"/>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D19C61AD-4F83-4F36-A797-694167FF9EA0}"/>
    <cellStyle name="20% - Accent4 2 3 5 2 2 3" xfId="26103" xr:uid="{C345D971-5D93-4E5D-9C95-5B640B15D0E9}"/>
    <cellStyle name="20% - Accent4 2 3 5 2 3" xfId="13439" xr:uid="{E6C2B939-F0C9-4486-A47A-7E3A755AA42A}"/>
    <cellStyle name="20% - Accent4 2 3 5 2 4" xfId="21886" xr:uid="{526E930C-25CF-4370-9589-7B2F5A283F62}"/>
    <cellStyle name="20% - Accent4 2 3 5 3" xfId="6185" xr:uid="{00000000-0005-0000-0000-00001B020000}"/>
    <cellStyle name="20% - Accent4 2 3 5 3 2" xfId="15511" xr:uid="{9F97796A-DED0-4DBA-9C4D-674F2F5880CD}"/>
    <cellStyle name="20% - Accent4 2 3 5 3 3" xfId="23958" xr:uid="{1FD980DE-CE54-44AE-AA25-D1C4EE5AA93E}"/>
    <cellStyle name="20% - Accent4 2 3 5 4" xfId="11294" xr:uid="{EDBD1A7B-B1F0-47D1-8732-C3D1062048BF}"/>
    <cellStyle name="20% - Accent4 2 3 5 5" xfId="19741" xr:uid="{BAF20A12-0865-4B20-A471-2D7EDC621C03}"/>
    <cellStyle name="20% - Accent4 2 3 6" xfId="2292" xr:uid="{00000000-0005-0000-0000-00001C020000}"/>
    <cellStyle name="20% - Accent4 2 3 6 2" xfId="6598" xr:uid="{00000000-0005-0000-0000-00001D020000}"/>
    <cellStyle name="20% - Accent4 2 3 6 2 2" xfId="15924" xr:uid="{8BC64A2F-658D-4764-BECA-B5759DBBDCA7}"/>
    <cellStyle name="20% - Accent4 2 3 6 2 3" xfId="24371" xr:uid="{0A611BE6-B44C-4697-81DE-ED7BA492E524}"/>
    <cellStyle name="20% - Accent4 2 3 6 3" xfId="11707" xr:uid="{269C272E-C928-4CA5-B339-502BA1269559}"/>
    <cellStyle name="20% - Accent4 2 3 6 4" xfId="20154" xr:uid="{21233B49-7CE3-4B5C-A835-D20A8BA2A557}"/>
    <cellStyle name="20% - Accent4 2 3 7" xfId="4532" xr:uid="{00000000-0005-0000-0000-00001E020000}"/>
    <cellStyle name="20% - Accent4 2 3 7 2" xfId="13858" xr:uid="{35410921-3C98-4C92-AE63-353CE998DA80}"/>
    <cellStyle name="20% - Accent4 2 3 7 3" xfId="22305" xr:uid="{76A6059A-099E-4C04-A194-85D327044F81}"/>
    <cellStyle name="20% - Accent4 2 3 8" xfId="9001" xr:uid="{B9DE6BBA-06E2-4FC8-B645-F20E60244072}"/>
    <cellStyle name="20% - Accent4 2 3 9" xfId="9641" xr:uid="{C7CBE7BA-298F-43DC-9DA3-8E268B42442B}"/>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09D6C83C-AB14-4179-8019-B6C0B83BBC77}"/>
    <cellStyle name="20% - Accent4 2 4 2 2 3" xfId="24861" xr:uid="{59E80700-C742-486B-89FB-BEECBAA8C83D}"/>
    <cellStyle name="20% - Accent4 2 4 2 3" xfId="12197" xr:uid="{E26D6732-CFEE-41E1-BC3A-A3E40400AA03}"/>
    <cellStyle name="20% - Accent4 2 4 2 4" xfId="20644" xr:uid="{85426361-6F55-4613-A1E0-E4313B545580}"/>
    <cellStyle name="20% - Accent4 2 4 3" xfId="4943" xr:uid="{00000000-0005-0000-0000-000022020000}"/>
    <cellStyle name="20% - Accent4 2 4 3 2" xfId="14269" xr:uid="{9C8809E4-DDA5-4151-9FE5-AC625315C0CD}"/>
    <cellStyle name="20% - Accent4 2 4 3 3" xfId="22716" xr:uid="{396B7796-E2F1-451A-92A2-C286DC45A181}"/>
    <cellStyle name="20% - Accent4 2 4 4" xfId="9218" xr:uid="{EEA9CEE5-7B27-41EB-B571-13D0ADC44445}"/>
    <cellStyle name="20% - Accent4 2 4 5" xfId="10052" xr:uid="{0ED388C3-1A80-486C-85DF-90EE679B0F86}"/>
    <cellStyle name="20% - Accent4 2 4 6" xfId="18499" xr:uid="{B161E86B-C926-4B19-A041-08AA0A62A561}"/>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B2E02B8E-2E7A-4EC6-9BA1-11A46E687490}"/>
    <cellStyle name="20% - Accent4 2 5 2 2 3" xfId="25274" xr:uid="{D0C9F7EF-612F-4A22-81F8-99D1112AD480}"/>
    <cellStyle name="20% - Accent4 2 5 2 3" xfId="12610" xr:uid="{E3276CD5-C070-4EE5-A6B7-A94FE0A97E5C}"/>
    <cellStyle name="20% - Accent4 2 5 2 4" xfId="21057" xr:uid="{0388951B-0443-460D-9F99-E98BF3EF5CB1}"/>
    <cellStyle name="20% - Accent4 2 5 3" xfId="5356" xr:uid="{00000000-0005-0000-0000-000026020000}"/>
    <cellStyle name="20% - Accent4 2 5 3 2" xfId="14682" xr:uid="{100E2C0A-1EC3-4B61-87B4-CC18FFEED2DA}"/>
    <cellStyle name="20% - Accent4 2 5 3 3" xfId="23129" xr:uid="{43A907EE-4D76-4AFB-A620-396D315AAC31}"/>
    <cellStyle name="20% - Accent4 2 5 4" xfId="10465" xr:uid="{2B881990-7A41-420F-816A-15330CCCD4F8}"/>
    <cellStyle name="20% - Accent4 2 5 5" xfId="18912" xr:uid="{6A9545CE-1338-4223-A2F4-25819754E47B}"/>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77C9C2B1-BC76-411E-8EAA-D1785FFA5069}"/>
    <cellStyle name="20% - Accent4 2 6 2 2 3" xfId="25687" xr:uid="{07497EAF-27E1-4EEE-9EF5-400452BCA6B4}"/>
    <cellStyle name="20% - Accent4 2 6 2 3" xfId="13023" xr:uid="{1C5C003D-F133-4324-97E4-840C19AE9731}"/>
    <cellStyle name="20% - Accent4 2 6 2 4" xfId="21470" xr:uid="{15C046A3-3F05-4145-98E3-7E4C0E355AE6}"/>
    <cellStyle name="20% - Accent4 2 6 3" xfId="5769" xr:uid="{00000000-0005-0000-0000-00002A020000}"/>
    <cellStyle name="20% - Accent4 2 6 3 2" xfId="15095" xr:uid="{F107139D-39CA-4A68-9CD4-7579E42EB690}"/>
    <cellStyle name="20% - Accent4 2 6 3 3" xfId="23542" xr:uid="{93261026-697F-49D0-8969-D2763018CCF3}"/>
    <cellStyle name="20% - Accent4 2 6 4" xfId="10878" xr:uid="{6A3F7107-677C-41BA-A72F-1D5E99CFD2EB}"/>
    <cellStyle name="20% - Accent4 2 6 5" xfId="19325" xr:uid="{3EC30EC8-D014-425C-88B4-59EFBDC710A2}"/>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F2DBE9B8-045E-468B-BA08-7F3DD602B4E8}"/>
    <cellStyle name="20% - Accent4 2 7 2 2 3" xfId="26100" xr:uid="{F78DDBB3-6A1B-4AE8-8651-48FCD6F6DFE7}"/>
    <cellStyle name="20% - Accent4 2 7 2 3" xfId="13436" xr:uid="{4401E00F-049A-4EAF-A7A4-276274C5255A}"/>
    <cellStyle name="20% - Accent4 2 7 2 4" xfId="21883" xr:uid="{EF93A523-A3AD-4332-81FD-234E31C0A710}"/>
    <cellStyle name="20% - Accent4 2 7 3" xfId="6182" xr:uid="{00000000-0005-0000-0000-00002E020000}"/>
    <cellStyle name="20% - Accent4 2 7 3 2" xfId="15508" xr:uid="{994FD14B-5DB9-457C-BDAC-BC5BA0C1150F}"/>
    <cellStyle name="20% - Accent4 2 7 3 3" xfId="23955" xr:uid="{76C26279-D017-46F7-903B-71254CA9CFB4}"/>
    <cellStyle name="20% - Accent4 2 7 4" xfId="11291" xr:uid="{8DD831F0-D7E5-43EB-8198-B93ACA0FBB88}"/>
    <cellStyle name="20% - Accent4 2 7 5" xfId="19738" xr:uid="{62879747-3CA8-4844-A3EB-BE2A89C959FF}"/>
    <cellStyle name="20% - Accent4 2 8" xfId="2289" xr:uid="{00000000-0005-0000-0000-00002F020000}"/>
    <cellStyle name="20% - Accent4 2 8 2" xfId="6595" xr:uid="{00000000-0005-0000-0000-000030020000}"/>
    <cellStyle name="20% - Accent4 2 8 2 2" xfId="15921" xr:uid="{D63B9FB3-DF66-4496-B2CC-81F33FB8FBD7}"/>
    <cellStyle name="20% - Accent4 2 8 2 3" xfId="24368" xr:uid="{7E7ADE7C-CCE1-4BEB-B5C4-B43CE57102D3}"/>
    <cellStyle name="20% - Accent4 2 8 3" xfId="11704" xr:uid="{14532CF4-56B2-4A51-B47B-27F586547832}"/>
    <cellStyle name="20% - Accent4 2 8 4" xfId="20151" xr:uid="{CF0BE3A8-367F-429A-B758-404AA325306B}"/>
    <cellStyle name="20% - Accent4 2 9" xfId="4529" xr:uid="{00000000-0005-0000-0000-000031020000}"/>
    <cellStyle name="20% - Accent4 2 9 2" xfId="13855" xr:uid="{C60F0801-37E9-4260-8F35-253802AC1979}"/>
    <cellStyle name="20% - Accent4 2 9 3" xfId="22302" xr:uid="{43B1FAEA-F1BB-4243-8DCF-B93645F77C5E}"/>
    <cellStyle name="20% - Accent4 3" xfId="30" xr:uid="{00000000-0005-0000-0000-000032020000}"/>
    <cellStyle name="20% - Accent4 3 10" xfId="9642" xr:uid="{A084AEDE-A1A7-4CF3-A03B-89E552CA98D3}"/>
    <cellStyle name="20% - Accent4 3 11" xfId="18089" xr:uid="{04232035-D327-495B-8267-86B56AB876B4}"/>
    <cellStyle name="20% - Accent4 3 2" xfId="31" xr:uid="{00000000-0005-0000-0000-000033020000}"/>
    <cellStyle name="20% - Accent4 3 2 10" xfId="18090" xr:uid="{39D456EB-D97D-4267-B830-392E4E9FFEDA}"/>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3DFF5883-5868-4B5F-8BFA-59EB14008B75}"/>
    <cellStyle name="20% - Accent4 3 2 2 2 2 3" xfId="24866" xr:uid="{70B899C7-45F2-4BE8-BF53-4C794917C471}"/>
    <cellStyle name="20% - Accent4 3 2 2 2 3" xfId="12202" xr:uid="{1BB0F06E-A1C4-4443-9F23-B6F8A0D1AAE4}"/>
    <cellStyle name="20% - Accent4 3 2 2 2 4" xfId="20649" xr:uid="{6358714B-16E1-4D11-B5E9-EB8A79E52985}"/>
    <cellStyle name="20% - Accent4 3 2 2 3" xfId="4948" xr:uid="{00000000-0005-0000-0000-000037020000}"/>
    <cellStyle name="20% - Accent4 3 2 2 3 2" xfId="14274" xr:uid="{8F401831-78B5-4B2B-BB10-ACE47E121C6E}"/>
    <cellStyle name="20% - Accent4 3 2 2 3 3" xfId="22721" xr:uid="{EC4FC0FC-790E-408F-A0BA-9DE9E2E86A5F}"/>
    <cellStyle name="20% - Accent4 3 2 2 4" xfId="9499" xr:uid="{019308F4-938B-408B-A627-483AF94276A0}"/>
    <cellStyle name="20% - Accent4 3 2 2 5" xfId="10057" xr:uid="{28B70AAA-0869-4056-9115-BA4C578A1A09}"/>
    <cellStyle name="20% - Accent4 3 2 2 6" xfId="18504" xr:uid="{BE0D291B-9611-4735-BE10-2E0DE412A0F6}"/>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9DE4FD3B-3D10-40E1-B29F-30D01EB9AA99}"/>
    <cellStyle name="20% - Accent4 3 2 3 2 2 3" xfId="25279" xr:uid="{F622A956-2AEA-45DC-850F-57B54B738796}"/>
    <cellStyle name="20% - Accent4 3 2 3 2 3" xfId="12615" xr:uid="{2D7E6199-5601-4BA5-9EC0-BF00E7F20100}"/>
    <cellStyle name="20% - Accent4 3 2 3 2 4" xfId="21062" xr:uid="{B9EE1718-1D30-43D7-8A96-BE29380281F2}"/>
    <cellStyle name="20% - Accent4 3 2 3 3" xfId="5361" xr:uid="{00000000-0005-0000-0000-00003B020000}"/>
    <cellStyle name="20% - Accent4 3 2 3 3 2" xfId="14687" xr:uid="{2DD872AC-255C-4593-B437-E9EE5930B8E1}"/>
    <cellStyle name="20% - Accent4 3 2 3 3 3" xfId="23134" xr:uid="{42EAD7A9-B036-45BA-974B-8A8DC8E66629}"/>
    <cellStyle name="20% - Accent4 3 2 3 4" xfId="10470" xr:uid="{2E7A3C07-C56C-42FE-83FC-B948CCCC72C7}"/>
    <cellStyle name="20% - Accent4 3 2 3 5" xfId="18917" xr:uid="{1AC3961C-9C3C-4DF2-8189-C652B75969A9}"/>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79CB6BDC-5873-45E5-990B-64CD7431C4D4}"/>
    <cellStyle name="20% - Accent4 3 2 4 2 2 3" xfId="25692" xr:uid="{B0A7C929-FCF0-4724-87DB-2BCEEB59C3C5}"/>
    <cellStyle name="20% - Accent4 3 2 4 2 3" xfId="13028" xr:uid="{71B1DA1E-7D30-4F19-9D2E-749E3D15231B}"/>
    <cellStyle name="20% - Accent4 3 2 4 2 4" xfId="21475" xr:uid="{AB75078B-CAFD-4B51-BB0F-0987472823C0}"/>
    <cellStyle name="20% - Accent4 3 2 4 3" xfId="5774" xr:uid="{00000000-0005-0000-0000-00003F020000}"/>
    <cellStyle name="20% - Accent4 3 2 4 3 2" xfId="15100" xr:uid="{14FBDBEB-31DE-475B-BB54-1C6508C195BD}"/>
    <cellStyle name="20% - Accent4 3 2 4 3 3" xfId="23547" xr:uid="{0C18F649-0C46-49BF-A279-D356381C93AF}"/>
    <cellStyle name="20% - Accent4 3 2 4 4" xfId="10883" xr:uid="{8A3B1CC0-1D19-41BD-B80C-89E1968C46A5}"/>
    <cellStyle name="20% - Accent4 3 2 4 5" xfId="19330" xr:uid="{7C14F26A-4814-44E2-9893-1BD4FA7BF3CF}"/>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37026CE6-5CFD-4A56-A1DB-D9135B3EA1AA}"/>
    <cellStyle name="20% - Accent4 3 2 5 2 2 3" xfId="26105" xr:uid="{21849021-E770-486D-A1EB-2647FCC22A02}"/>
    <cellStyle name="20% - Accent4 3 2 5 2 3" xfId="13441" xr:uid="{D2E436A3-8CDD-4499-9D6E-F9E3E5AF35B2}"/>
    <cellStyle name="20% - Accent4 3 2 5 2 4" xfId="21888" xr:uid="{5192BC40-D68D-46DD-8204-05F63114C5D0}"/>
    <cellStyle name="20% - Accent4 3 2 5 3" xfId="6187" xr:uid="{00000000-0005-0000-0000-000043020000}"/>
    <cellStyle name="20% - Accent4 3 2 5 3 2" xfId="15513" xr:uid="{19132D73-5FA4-4724-90FD-A26480BEFC39}"/>
    <cellStyle name="20% - Accent4 3 2 5 3 3" xfId="23960" xr:uid="{59E802B6-CD90-4194-9CCB-3553AEB79138}"/>
    <cellStyle name="20% - Accent4 3 2 5 4" xfId="11296" xr:uid="{968EC95D-F4BA-4055-AE6B-3553EB027F3B}"/>
    <cellStyle name="20% - Accent4 3 2 5 5" xfId="19743" xr:uid="{76CFC58B-D4F4-4E7A-929A-EDA1507A47E4}"/>
    <cellStyle name="20% - Accent4 3 2 6" xfId="2294" xr:uid="{00000000-0005-0000-0000-000044020000}"/>
    <cellStyle name="20% - Accent4 3 2 6 2" xfId="6600" xr:uid="{00000000-0005-0000-0000-000045020000}"/>
    <cellStyle name="20% - Accent4 3 2 6 2 2" xfId="15926" xr:uid="{E37371C3-731E-4B08-96D2-79206BCD49AE}"/>
    <cellStyle name="20% - Accent4 3 2 6 2 3" xfId="24373" xr:uid="{4CE753CF-2DA5-43E2-B429-FCDEC3D3237B}"/>
    <cellStyle name="20% - Accent4 3 2 6 3" xfId="11709" xr:uid="{2EF5BDC9-22BC-4E88-8D1C-0EEC6BEC9BE8}"/>
    <cellStyle name="20% - Accent4 3 2 6 4" xfId="20156" xr:uid="{5DA9B517-3965-4D43-BF67-1378AEF97592}"/>
    <cellStyle name="20% - Accent4 3 2 7" xfId="4534" xr:uid="{00000000-0005-0000-0000-000046020000}"/>
    <cellStyle name="20% - Accent4 3 2 7 2" xfId="13860" xr:uid="{28CFB467-456A-4F74-B9BD-BC15B51C1AAC}"/>
    <cellStyle name="20% - Accent4 3 2 7 3" xfId="22307" xr:uid="{E49AF135-BF38-4F03-9FA9-DE20D202E2EE}"/>
    <cellStyle name="20% - Accent4 3 2 8" xfId="9074" xr:uid="{BA25EAA8-2B5F-4309-91A3-FC61FCEF209C}"/>
    <cellStyle name="20% - Accent4 3 2 9" xfId="9643" xr:uid="{5E658940-2FE0-4516-BA89-75C3977504E7}"/>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3ADE17AE-00F6-42D8-9736-CB76F0F321DF}"/>
    <cellStyle name="20% - Accent4 3 3 2 2 3" xfId="24865" xr:uid="{C990C577-0749-42F5-8FED-EC8551D8C38A}"/>
    <cellStyle name="20% - Accent4 3 3 2 3" xfId="12201" xr:uid="{F95D9ABB-797D-40AF-AFC4-F4E0F0510F52}"/>
    <cellStyle name="20% - Accent4 3 3 2 4" xfId="20648" xr:uid="{3A3AA264-F630-45F0-BBFB-0FED39EE1544}"/>
    <cellStyle name="20% - Accent4 3 3 3" xfId="4947" xr:uid="{00000000-0005-0000-0000-00004A020000}"/>
    <cellStyle name="20% - Accent4 3 3 3 2" xfId="14273" xr:uid="{9CCD3EC8-2EEF-47F3-B37C-672E8C49E4DD}"/>
    <cellStyle name="20% - Accent4 3 3 3 3" xfId="22720" xr:uid="{CC8736F8-7D40-4648-BF97-45D60C41A0D7}"/>
    <cellStyle name="20% - Accent4 3 3 4" xfId="9292" xr:uid="{E33AB5E9-A8F9-45CB-AD95-0E461E901C30}"/>
    <cellStyle name="20% - Accent4 3 3 5" xfId="10056" xr:uid="{149B809B-07B7-4432-93AB-0965499BA8FE}"/>
    <cellStyle name="20% - Accent4 3 3 6" xfId="18503" xr:uid="{9654EC07-537B-4A9A-957A-E0C126ACC1E7}"/>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3657CCBE-291D-4B49-8B8B-7E97FEB1D439}"/>
    <cellStyle name="20% - Accent4 3 4 2 2 3" xfId="25278" xr:uid="{C6E0C9AE-5896-4EAB-B431-C90B83F4FAE4}"/>
    <cellStyle name="20% - Accent4 3 4 2 3" xfId="12614" xr:uid="{EDBFBD6E-A203-4222-AA7D-714FA31126B5}"/>
    <cellStyle name="20% - Accent4 3 4 2 4" xfId="21061" xr:uid="{4FCE5D84-8D93-4061-9BCC-D50EFE36FDCD}"/>
    <cellStyle name="20% - Accent4 3 4 3" xfId="5360" xr:uid="{00000000-0005-0000-0000-00004E020000}"/>
    <cellStyle name="20% - Accent4 3 4 3 2" xfId="14686" xr:uid="{33973943-9769-4F9F-9516-98E08A2BFA5D}"/>
    <cellStyle name="20% - Accent4 3 4 3 3" xfId="23133" xr:uid="{E115E2FA-EA29-477D-8197-BA38E0CDD8EC}"/>
    <cellStyle name="20% - Accent4 3 4 4" xfId="10469" xr:uid="{6B372C53-1824-4536-8534-75F3FBD30CA8}"/>
    <cellStyle name="20% - Accent4 3 4 5" xfId="18916" xr:uid="{7FFCAE75-9C74-4F45-842D-EF62DE3B6D13}"/>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FCCA7747-9845-40F1-AD6E-F2025731A709}"/>
    <cellStyle name="20% - Accent4 3 5 2 2 3" xfId="25691" xr:uid="{9C38BF98-2D67-4953-82FD-64E711864E22}"/>
    <cellStyle name="20% - Accent4 3 5 2 3" xfId="13027" xr:uid="{F1F2C0EE-E4A1-4116-B8B1-7E7A0BB64BE0}"/>
    <cellStyle name="20% - Accent4 3 5 2 4" xfId="21474" xr:uid="{B05BA1F8-76FD-4BF5-A2EB-B67A0B1C8CAF}"/>
    <cellStyle name="20% - Accent4 3 5 3" xfId="5773" xr:uid="{00000000-0005-0000-0000-000052020000}"/>
    <cellStyle name="20% - Accent4 3 5 3 2" xfId="15099" xr:uid="{039ED0D5-3E65-4436-B160-94477ABA6EDB}"/>
    <cellStyle name="20% - Accent4 3 5 3 3" xfId="23546" xr:uid="{89918336-37E1-4531-82C4-754E2D970FC8}"/>
    <cellStyle name="20% - Accent4 3 5 4" xfId="10882" xr:uid="{C778F9C6-B7CF-4611-887E-2959AF3527CC}"/>
    <cellStyle name="20% - Accent4 3 5 5" xfId="19329" xr:uid="{729EAD79-24DB-4989-9C2C-7EB217A3BCF3}"/>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6AC9EBF2-B13F-48F3-B20F-696BFDC83FFB}"/>
    <cellStyle name="20% - Accent4 3 6 2 2 3" xfId="26104" xr:uid="{95952C12-3CAE-45B4-805E-447BA9C04E00}"/>
    <cellStyle name="20% - Accent4 3 6 2 3" xfId="13440" xr:uid="{573896BA-9B1D-421F-9D2D-181B45B621F1}"/>
    <cellStyle name="20% - Accent4 3 6 2 4" xfId="21887" xr:uid="{05DC6029-BD5E-4074-A47D-D1F1FA54FC07}"/>
    <cellStyle name="20% - Accent4 3 6 3" xfId="6186" xr:uid="{00000000-0005-0000-0000-000056020000}"/>
    <cellStyle name="20% - Accent4 3 6 3 2" xfId="15512" xr:uid="{43705AD3-B349-4483-B8C9-F01C9118C8CD}"/>
    <cellStyle name="20% - Accent4 3 6 3 3" xfId="23959" xr:uid="{BAE1D665-C1C2-4153-9083-4C91E50C974A}"/>
    <cellStyle name="20% - Accent4 3 6 4" xfId="11295" xr:uid="{C9053684-BE37-42AA-B2FD-A033FDE9AE96}"/>
    <cellStyle name="20% - Accent4 3 6 5" xfId="19742" xr:uid="{0DE4C91D-AAC5-49CF-B55A-D805967D8782}"/>
    <cellStyle name="20% - Accent4 3 7" xfId="2293" xr:uid="{00000000-0005-0000-0000-000057020000}"/>
    <cellStyle name="20% - Accent4 3 7 2" xfId="6599" xr:uid="{00000000-0005-0000-0000-000058020000}"/>
    <cellStyle name="20% - Accent4 3 7 2 2" xfId="15925" xr:uid="{CFD6D93E-CD34-4E76-9D26-4DE81B6E1214}"/>
    <cellStyle name="20% - Accent4 3 7 2 3" xfId="24372" xr:uid="{415D60F8-0CA6-4FD3-A5F7-3DA317A87B90}"/>
    <cellStyle name="20% - Accent4 3 7 3" xfId="11708" xr:uid="{DA33CE35-F6CD-43C4-927F-C88EC4E08A13}"/>
    <cellStyle name="20% - Accent4 3 7 4" xfId="20155" xr:uid="{CC7B25D5-B6A4-4A00-A4C8-F7CDD81B815E}"/>
    <cellStyle name="20% - Accent4 3 8" xfId="4533" xr:uid="{00000000-0005-0000-0000-000059020000}"/>
    <cellStyle name="20% - Accent4 3 8 2" xfId="13859" xr:uid="{43049FAA-CD8A-4837-BC17-50A1293FCE3F}"/>
    <cellStyle name="20% - Accent4 3 8 3" xfId="22306" xr:uid="{A96070BD-150D-4F61-99A3-4F60BB62379B}"/>
    <cellStyle name="20% - Accent4 3 9" xfId="8867" xr:uid="{27FB4CEF-7F56-4AEC-B5AC-6B6A1477FBD8}"/>
    <cellStyle name="20% - Accent4 4" xfId="32" xr:uid="{00000000-0005-0000-0000-00005A020000}"/>
    <cellStyle name="20% - Accent4 4 10" xfId="18091" xr:uid="{5D792548-96D3-4614-9116-D2E338043887}"/>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1373BD5A-21C5-468D-9458-239A23EF75FE}"/>
    <cellStyle name="20% - Accent4 4 2 2 2 3" xfId="24867" xr:uid="{F7153CC4-0166-4B4F-AB56-9F81C596B5DA}"/>
    <cellStyle name="20% - Accent4 4 2 2 3" xfId="12203" xr:uid="{77556894-DBA2-44A6-BF72-48F0975D5ACA}"/>
    <cellStyle name="20% - Accent4 4 2 2 4" xfId="20650" xr:uid="{C18DE639-3C3A-42FC-A035-904E8E1F1303}"/>
    <cellStyle name="20% - Accent4 4 2 3" xfId="4949" xr:uid="{00000000-0005-0000-0000-00005E020000}"/>
    <cellStyle name="20% - Accent4 4 2 3 2" xfId="14275" xr:uid="{8F497557-BEF5-4B7C-996B-72CC11D31878}"/>
    <cellStyle name="20% - Accent4 4 2 3 3" xfId="22722" xr:uid="{C96D0FE6-82E2-4E9D-BD68-FA16C6C514EC}"/>
    <cellStyle name="20% - Accent4 4 2 4" xfId="9378" xr:uid="{761B3D4A-2751-4646-8A50-05A0DD408525}"/>
    <cellStyle name="20% - Accent4 4 2 5" xfId="10058" xr:uid="{75C90F3D-F0A3-4ECF-8FFC-0DB92856A2DE}"/>
    <cellStyle name="20% - Accent4 4 2 6" xfId="18505" xr:uid="{3EF4E31C-3D4B-426F-BEC0-67BEDDD91792}"/>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7FFEE17A-3E72-4663-ACC8-8D45EE5A770D}"/>
    <cellStyle name="20% - Accent4 4 3 2 2 3" xfId="25280" xr:uid="{6A4D0658-0435-40A6-91D3-E4E2030E3BC9}"/>
    <cellStyle name="20% - Accent4 4 3 2 3" xfId="12616" xr:uid="{B06CDAE5-6A95-4AC3-8CD8-DBC043F539C2}"/>
    <cellStyle name="20% - Accent4 4 3 2 4" xfId="21063" xr:uid="{8A6E6364-A892-4D11-BB37-6F5B6E14019E}"/>
    <cellStyle name="20% - Accent4 4 3 3" xfId="5362" xr:uid="{00000000-0005-0000-0000-000062020000}"/>
    <cellStyle name="20% - Accent4 4 3 3 2" xfId="14688" xr:uid="{12F4ED0A-6C48-4E69-B64A-D94295F6452B}"/>
    <cellStyle name="20% - Accent4 4 3 3 3" xfId="23135" xr:uid="{5C150419-E7CB-4C44-9E97-BA97ADEF272C}"/>
    <cellStyle name="20% - Accent4 4 3 4" xfId="10471" xr:uid="{F609FEC1-5A65-4D64-B85F-4AEA96B42895}"/>
    <cellStyle name="20% - Accent4 4 3 5" xfId="18918" xr:uid="{B2F3DB76-B4C2-46F3-88E9-F760F901D9F5}"/>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2E5AD501-7274-40AB-961F-9DF117877EFA}"/>
    <cellStyle name="20% - Accent4 4 4 2 2 3" xfId="25693" xr:uid="{BF49C181-18D8-43A4-8DE1-E93FEB6B12C8}"/>
    <cellStyle name="20% - Accent4 4 4 2 3" xfId="13029" xr:uid="{AAD3E409-33C2-4AFD-BB9A-07615F3190D9}"/>
    <cellStyle name="20% - Accent4 4 4 2 4" xfId="21476" xr:uid="{4336FA47-6508-4833-830F-B0E5F151B769}"/>
    <cellStyle name="20% - Accent4 4 4 3" xfId="5775" xr:uid="{00000000-0005-0000-0000-000066020000}"/>
    <cellStyle name="20% - Accent4 4 4 3 2" xfId="15101" xr:uid="{24F3BD4F-0765-4888-87CE-D4DF015EA423}"/>
    <cellStyle name="20% - Accent4 4 4 3 3" xfId="23548" xr:uid="{C9E80E1A-E9C4-4DCB-875D-2BC3EDF026DF}"/>
    <cellStyle name="20% - Accent4 4 4 4" xfId="10884" xr:uid="{F042797D-C815-42B0-8CC4-A13407E3F837}"/>
    <cellStyle name="20% - Accent4 4 4 5" xfId="19331" xr:uid="{6CFAFC6B-280C-4E6F-9BE5-BCB3C8E7EDDC}"/>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2A5A6C64-F42C-4E26-B1C6-A79CBBA3B2B7}"/>
    <cellStyle name="20% - Accent4 4 5 2 2 3" xfId="26106" xr:uid="{B474BA18-B53A-4DB5-B5B9-E1D07314DAF7}"/>
    <cellStyle name="20% - Accent4 4 5 2 3" xfId="13442" xr:uid="{026222CF-FFDF-47BF-AE11-52F5F66DB010}"/>
    <cellStyle name="20% - Accent4 4 5 2 4" xfId="21889" xr:uid="{C6DAE726-29E0-4474-9750-210680CDE580}"/>
    <cellStyle name="20% - Accent4 4 5 3" xfId="6188" xr:uid="{00000000-0005-0000-0000-00006A020000}"/>
    <cellStyle name="20% - Accent4 4 5 3 2" xfId="15514" xr:uid="{12F706CA-BCD3-485F-885D-89B829078DF2}"/>
    <cellStyle name="20% - Accent4 4 5 3 3" xfId="23961" xr:uid="{53793C47-0DF4-4CCF-A653-CF89824B37D4}"/>
    <cellStyle name="20% - Accent4 4 5 4" xfId="11297" xr:uid="{1F61D7EF-0ACB-4DB0-85CA-C9D2BB74F28C}"/>
    <cellStyle name="20% - Accent4 4 5 5" xfId="19744" xr:uid="{D0232914-09FD-47DE-B661-4F904C8061C8}"/>
    <cellStyle name="20% - Accent4 4 6" xfId="2295" xr:uid="{00000000-0005-0000-0000-00006B020000}"/>
    <cellStyle name="20% - Accent4 4 6 2" xfId="6601" xr:uid="{00000000-0005-0000-0000-00006C020000}"/>
    <cellStyle name="20% - Accent4 4 6 2 2" xfId="15927" xr:uid="{659B94F1-3F30-4FA8-A0E8-7B1FFAAF1B9E}"/>
    <cellStyle name="20% - Accent4 4 6 2 3" xfId="24374" xr:uid="{529A39D6-77DF-4029-90FD-7604D115F771}"/>
    <cellStyle name="20% - Accent4 4 6 3" xfId="11710" xr:uid="{1E982BDC-5579-476C-BE47-A8D73DDDD7B1}"/>
    <cellStyle name="20% - Accent4 4 6 4" xfId="20157" xr:uid="{5C313B7A-4BA5-49CF-BBCB-40C666570FFA}"/>
    <cellStyle name="20% - Accent4 4 7" xfId="4535" xr:uid="{00000000-0005-0000-0000-00006D020000}"/>
    <cellStyle name="20% - Accent4 4 7 2" xfId="13861" xr:uid="{CE787A9F-6EC2-4456-B14D-3BACCD643DF2}"/>
    <cellStyle name="20% - Accent4 4 7 3" xfId="22308" xr:uid="{80618014-615B-464F-A1EE-3FB500212657}"/>
    <cellStyle name="20% - Accent4 4 8" xfId="8953" xr:uid="{66D1590A-BB3A-4B79-BA94-169F97E79370}"/>
    <cellStyle name="20% - Accent4 4 9" xfId="9644" xr:uid="{74D3874D-9744-4454-B01A-530EE4EB1F94}"/>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73D0CEF4-6EB0-4417-8284-5A4432999B36}"/>
    <cellStyle name="20% - Accent4 5 2 2 3" xfId="24860" xr:uid="{24969925-8BC2-48DD-AE49-66DE42570708}"/>
    <cellStyle name="20% - Accent4 5 2 3" xfId="12196" xr:uid="{B73D8F9F-5B4B-4087-BEC0-218AB3426166}"/>
    <cellStyle name="20% - Accent4 5 2 4" xfId="20643" xr:uid="{32FAC3C1-E19B-44D8-AD74-6C0C616FFC19}"/>
    <cellStyle name="20% - Accent4 5 3" xfId="4942" xr:uid="{00000000-0005-0000-0000-000071020000}"/>
    <cellStyle name="20% - Accent4 5 3 2" xfId="14268" xr:uid="{A2DF0297-5E7C-47B7-B81A-02156E68A066}"/>
    <cellStyle name="20% - Accent4 5 3 3" xfId="22715" xr:uid="{DB89D4CB-F94C-46E0-94F5-412B2ACE38E2}"/>
    <cellStyle name="20% - Accent4 5 4" xfId="9186" xr:uid="{E62ED282-F767-404B-ADA1-4F8E5B4D01EB}"/>
    <cellStyle name="20% - Accent4 5 5" xfId="10051" xr:uid="{960663B8-F757-4BC2-9CAA-7250CDA345D5}"/>
    <cellStyle name="20% - Accent4 5 6" xfId="18498" xr:uid="{03E9AB69-C350-4C67-90C8-CF10CD2986AD}"/>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06558D8B-2368-418C-A86C-18C3611240E1}"/>
    <cellStyle name="20% - Accent4 6 2 2 3" xfId="25273" xr:uid="{1AFCFD65-AE9A-4C20-A726-70C10CA0D668}"/>
    <cellStyle name="20% - Accent4 6 2 3" xfId="12609" xr:uid="{3E53E43A-3E00-445C-B6F3-FED15AAEE6A2}"/>
    <cellStyle name="20% - Accent4 6 2 4" xfId="21056" xr:uid="{595EBA7F-0284-46D5-B4BA-B3E8BC82667C}"/>
    <cellStyle name="20% - Accent4 6 3" xfId="5355" xr:uid="{00000000-0005-0000-0000-000075020000}"/>
    <cellStyle name="20% - Accent4 6 3 2" xfId="14681" xr:uid="{CA29E758-D3F1-4C73-AB91-886C801D38D5}"/>
    <cellStyle name="20% - Accent4 6 3 3" xfId="23128" xr:uid="{43E77A5E-371B-4DE1-947F-9C40D871D120}"/>
    <cellStyle name="20% - Accent4 6 4" xfId="10464" xr:uid="{CE1BFBC8-E5E9-4E64-8A49-CE508B423A8E}"/>
    <cellStyle name="20% - Accent4 6 5" xfId="18911" xr:uid="{96EB3ABF-AB2C-4A2F-96AB-C12CF4C851EC}"/>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451F895D-5F03-4F14-86D9-EDF72BE369A0}"/>
    <cellStyle name="20% - Accent4 7 2 2 3" xfId="25686" xr:uid="{D0E6254A-8BDF-424A-A605-9BA532AAEF93}"/>
    <cellStyle name="20% - Accent4 7 2 3" xfId="13022" xr:uid="{4F74E62A-7BF2-4702-9C97-773F84DA286C}"/>
    <cellStyle name="20% - Accent4 7 2 4" xfId="21469" xr:uid="{56787007-4835-44C4-AEDA-C0B145726C0C}"/>
    <cellStyle name="20% - Accent4 7 3" xfId="5768" xr:uid="{00000000-0005-0000-0000-000079020000}"/>
    <cellStyle name="20% - Accent4 7 3 2" xfId="15094" xr:uid="{254764F3-DA40-4055-9F3A-466CA5A7901A}"/>
    <cellStyle name="20% - Accent4 7 3 3" xfId="23541" xr:uid="{64AA411D-A6CF-41E6-B245-58159F0C77BB}"/>
    <cellStyle name="20% - Accent4 7 4" xfId="10877" xr:uid="{4949D90D-9EE3-45A6-9FA4-7BAF16459DE0}"/>
    <cellStyle name="20% - Accent4 7 5" xfId="19324" xr:uid="{76B3BADF-35D4-4C17-B8C4-0FAB8F5BCFFC}"/>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E88F9D68-94BA-47B1-B710-C875204F4FC5}"/>
    <cellStyle name="20% - Accent4 8 2 2 3" xfId="26099" xr:uid="{37A89AC1-4D5E-4E55-B23E-CD117E813759}"/>
    <cellStyle name="20% - Accent4 8 2 3" xfId="13435" xr:uid="{BA79F47E-E28A-424C-AE18-BB5411E2FFE6}"/>
    <cellStyle name="20% - Accent4 8 2 4" xfId="21882" xr:uid="{5A6B3E9D-CB2B-4F62-BFAA-BC3A4A524067}"/>
    <cellStyle name="20% - Accent4 8 3" xfId="6181" xr:uid="{00000000-0005-0000-0000-00007D020000}"/>
    <cellStyle name="20% - Accent4 8 3 2" xfId="15507" xr:uid="{A6778EBF-4717-45BC-9FAF-A6EEBF10E714}"/>
    <cellStyle name="20% - Accent4 8 3 3" xfId="23954" xr:uid="{886FCD62-7287-4A4D-98AF-EDFB0324024A}"/>
    <cellStyle name="20% - Accent4 8 4" xfId="11290" xr:uid="{EFD76F1F-8666-4E48-A243-34DB364DEF75}"/>
    <cellStyle name="20% - Accent4 8 5" xfId="19737" xr:uid="{A18E74BC-B5C0-4496-8998-A7CA9C34D313}"/>
    <cellStyle name="20% - Accent4 9" xfId="2288" xr:uid="{00000000-0005-0000-0000-00007E020000}"/>
    <cellStyle name="20% - Accent4 9 2" xfId="6594" xr:uid="{00000000-0005-0000-0000-00007F020000}"/>
    <cellStyle name="20% - Accent4 9 2 2" xfId="15920" xr:uid="{D756F2AE-DE01-47C9-8C8F-BBD2F3A02E93}"/>
    <cellStyle name="20% - Accent4 9 2 3" xfId="24367" xr:uid="{2A01B051-AC10-428A-8256-08D5F3A19FA2}"/>
    <cellStyle name="20% - Accent4 9 3" xfId="11703" xr:uid="{CE048AC2-F4E5-49F7-A250-52A324312F0A}"/>
    <cellStyle name="20% - Accent4 9 4" xfId="20150" xr:uid="{12080832-FFCE-4AE9-B860-9C2A8E6B21B8}"/>
    <cellStyle name="20% - Accent5" xfId="33" builtinId="46" customBuiltin="1"/>
    <cellStyle name="20% - Accent5 10" xfId="4536" xr:uid="{00000000-0005-0000-0000-000081020000}"/>
    <cellStyle name="20% - Accent5 10 2" xfId="13862" xr:uid="{0E4BA970-339C-45E5-B0B1-16FCF6BF6A76}"/>
    <cellStyle name="20% - Accent5 10 3" xfId="22309" xr:uid="{507F260D-380D-49F6-9798-5A71E7D84E3D}"/>
    <cellStyle name="20% - Accent5 11" xfId="8766" xr:uid="{A87C980D-48BC-4AA3-98F7-53B2F02F228C}"/>
    <cellStyle name="20% - Accent5 12" xfId="9645" xr:uid="{C00E060A-8C87-4CD9-90A3-261291F76774}"/>
    <cellStyle name="20% - Accent5 13" xfId="18092" xr:uid="{43DAD9FB-E3BC-482D-A625-1144980B5C80}"/>
    <cellStyle name="20% - Accent5 2" xfId="34" xr:uid="{00000000-0005-0000-0000-000082020000}"/>
    <cellStyle name="20% - Accent5 2 10" xfId="8796" xr:uid="{5BBF4372-A7B1-47A0-AC3D-4A60EDC1A5F8}"/>
    <cellStyle name="20% - Accent5 2 11" xfId="9646" xr:uid="{5E7C2906-23EE-4D2E-9C6C-3398AD5C0E92}"/>
    <cellStyle name="20% - Accent5 2 12" xfId="18093" xr:uid="{215AECBC-839D-4690-93E3-B09DCBF5FF60}"/>
    <cellStyle name="20% - Accent5 2 2" xfId="35" xr:uid="{00000000-0005-0000-0000-000083020000}"/>
    <cellStyle name="20% - Accent5 2 2 10" xfId="9647" xr:uid="{6EBCE9E3-0696-455F-A230-281C55BBD48D}"/>
    <cellStyle name="20% - Accent5 2 2 11" xfId="18094" xr:uid="{ECC9D7E4-1265-41B3-BF73-701BA9E7002D}"/>
    <cellStyle name="20% - Accent5 2 2 2" xfId="36" xr:uid="{00000000-0005-0000-0000-000084020000}"/>
    <cellStyle name="20% - Accent5 2 2 2 10" xfId="18095" xr:uid="{98C5CC4F-43CB-4A9A-A913-F8C5219955B1}"/>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7C195161-B3C0-446F-8841-898781463B9A}"/>
    <cellStyle name="20% - Accent5 2 2 2 2 2 2 3" xfId="24871" xr:uid="{6027A115-436B-4EEF-B9A7-AB25EB18E7B8}"/>
    <cellStyle name="20% - Accent5 2 2 2 2 2 3" xfId="12207" xr:uid="{DDA72D1A-C50B-4D97-869B-9358A6FA3661}"/>
    <cellStyle name="20% - Accent5 2 2 2 2 2 4" xfId="20654" xr:uid="{765AAB37-FE3B-489D-971F-6D0C825F9AC7}"/>
    <cellStyle name="20% - Accent5 2 2 2 2 3" xfId="4953" xr:uid="{00000000-0005-0000-0000-000088020000}"/>
    <cellStyle name="20% - Accent5 2 2 2 2 3 2" xfId="14279" xr:uid="{BE1BD7D5-205B-453D-8DE0-1BA28ABB36B5}"/>
    <cellStyle name="20% - Accent5 2 2 2 2 3 3" xfId="22726" xr:uid="{DC71CEF5-AC43-47B1-BCF9-6C6CCCAC433D}"/>
    <cellStyle name="20% - Accent5 2 2 2 2 4" xfId="9531" xr:uid="{5DC5F027-F767-49FB-B9DE-2ACABCF8AC5A}"/>
    <cellStyle name="20% - Accent5 2 2 2 2 5" xfId="10062" xr:uid="{B6976CA2-7D84-4615-96C5-4C84ABCE44C5}"/>
    <cellStyle name="20% - Accent5 2 2 2 2 6" xfId="18509" xr:uid="{6B98CCF0-0DA8-4AB3-BC6E-30CE2404BE3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E25A21C1-DEB4-4030-BA9B-0EFB3B238A72}"/>
    <cellStyle name="20% - Accent5 2 2 2 3 2 2 3" xfId="25284" xr:uid="{DF451C86-8862-4DE1-B3EE-61EDAEB7822C}"/>
    <cellStyle name="20% - Accent5 2 2 2 3 2 3" xfId="12620" xr:uid="{8DD4400D-8837-4AF3-92CC-C89BB01D0C81}"/>
    <cellStyle name="20% - Accent5 2 2 2 3 2 4" xfId="21067" xr:uid="{A6E8363F-805D-4264-A800-DA8079281D0B}"/>
    <cellStyle name="20% - Accent5 2 2 2 3 3" xfId="5366" xr:uid="{00000000-0005-0000-0000-00008C020000}"/>
    <cellStyle name="20% - Accent5 2 2 2 3 3 2" xfId="14692" xr:uid="{D9259D73-5250-4FCB-9A74-033600CB7700}"/>
    <cellStyle name="20% - Accent5 2 2 2 3 3 3" xfId="23139" xr:uid="{B8225C87-2EE4-45F6-A1A2-103289FD6954}"/>
    <cellStyle name="20% - Accent5 2 2 2 3 4" xfId="10475" xr:uid="{4261C34C-6770-47C6-9695-1F82E1C5095D}"/>
    <cellStyle name="20% - Accent5 2 2 2 3 5" xfId="18922" xr:uid="{44EA89D8-49B2-45D2-923D-5B3ADE583CC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DBE78828-F853-48B7-912F-0FFB0285D72D}"/>
    <cellStyle name="20% - Accent5 2 2 2 4 2 2 3" xfId="25697" xr:uid="{202A8406-80CC-4876-9C79-C293F57F57C4}"/>
    <cellStyle name="20% - Accent5 2 2 2 4 2 3" xfId="13033" xr:uid="{97B8BAB5-D837-4485-BA91-E6883615933E}"/>
    <cellStyle name="20% - Accent5 2 2 2 4 2 4" xfId="21480" xr:uid="{F7EF42EC-0A03-45AC-9695-79FC014950ED}"/>
    <cellStyle name="20% - Accent5 2 2 2 4 3" xfId="5779" xr:uid="{00000000-0005-0000-0000-000090020000}"/>
    <cellStyle name="20% - Accent5 2 2 2 4 3 2" xfId="15105" xr:uid="{3F890626-E9DE-4462-8E42-318A4556AD2B}"/>
    <cellStyle name="20% - Accent5 2 2 2 4 3 3" xfId="23552" xr:uid="{22461F0C-7288-4B33-A03A-6A2576520F55}"/>
    <cellStyle name="20% - Accent5 2 2 2 4 4" xfId="10888" xr:uid="{D2DC9E17-0EEB-4F04-A5E3-0B6BAD974411}"/>
    <cellStyle name="20% - Accent5 2 2 2 4 5" xfId="19335" xr:uid="{2BD4F20D-5448-4ABF-9023-0C3B0886960C}"/>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F354A1FA-3C7B-49B1-B7DA-AC59839FC617}"/>
    <cellStyle name="20% - Accent5 2 2 2 5 2 2 3" xfId="26110" xr:uid="{D8037CDC-DD36-46EC-82B5-94EE4940B711}"/>
    <cellStyle name="20% - Accent5 2 2 2 5 2 3" xfId="13446" xr:uid="{083FA8CF-4ABE-411C-8244-3A9C703B80EA}"/>
    <cellStyle name="20% - Accent5 2 2 2 5 2 4" xfId="21893" xr:uid="{BEAC343C-ABCA-42BE-8B70-547DCE902359}"/>
    <cellStyle name="20% - Accent5 2 2 2 5 3" xfId="6192" xr:uid="{00000000-0005-0000-0000-000094020000}"/>
    <cellStyle name="20% - Accent5 2 2 2 5 3 2" xfId="15518" xr:uid="{5BA1E17D-BEE7-4C6E-892D-19906D0C841B}"/>
    <cellStyle name="20% - Accent5 2 2 2 5 3 3" xfId="23965" xr:uid="{2E40B13E-A4C4-4F2B-BB15-9176B07978E6}"/>
    <cellStyle name="20% - Accent5 2 2 2 5 4" xfId="11301" xr:uid="{C46BCC64-9EA7-4D0E-95A0-DB8E4B4D6EFD}"/>
    <cellStyle name="20% - Accent5 2 2 2 5 5" xfId="19748" xr:uid="{DB4F5D75-F558-43BF-9418-A52F38A64CC2}"/>
    <cellStyle name="20% - Accent5 2 2 2 6" xfId="2299" xr:uid="{00000000-0005-0000-0000-000095020000}"/>
    <cellStyle name="20% - Accent5 2 2 2 6 2" xfId="6605" xr:uid="{00000000-0005-0000-0000-000096020000}"/>
    <cellStyle name="20% - Accent5 2 2 2 6 2 2" xfId="15931" xr:uid="{5F181713-337B-47CE-8DAC-3D62273F7423}"/>
    <cellStyle name="20% - Accent5 2 2 2 6 2 3" xfId="24378" xr:uid="{ECB7A50F-8520-45F3-A4C9-13C11A6B7824}"/>
    <cellStyle name="20% - Accent5 2 2 2 6 3" xfId="11714" xr:uid="{E06170F4-B033-48F1-8709-6C1DD9A644CA}"/>
    <cellStyle name="20% - Accent5 2 2 2 6 4" xfId="20161" xr:uid="{B8CFE420-287B-4326-967E-90401B2EFF89}"/>
    <cellStyle name="20% - Accent5 2 2 2 7" xfId="4539" xr:uid="{00000000-0005-0000-0000-000097020000}"/>
    <cellStyle name="20% - Accent5 2 2 2 7 2" xfId="13865" xr:uid="{E71E790E-43AD-456F-8781-02C6424028F2}"/>
    <cellStyle name="20% - Accent5 2 2 2 7 3" xfId="22312" xr:uid="{F048CB76-67B3-4E54-8B90-0C33D9FADB0F}"/>
    <cellStyle name="20% - Accent5 2 2 2 8" xfId="9106" xr:uid="{E7B219CB-83A9-494A-83ED-783719A0F1D9}"/>
    <cellStyle name="20% - Accent5 2 2 2 9" xfId="9648" xr:uid="{049E1ACD-EBE2-4EC2-8A1C-32CF538489E4}"/>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8E4C1636-80F3-42D8-B68B-FBC2ACCD0EE5}"/>
    <cellStyle name="20% - Accent5 2 2 3 2 2 3" xfId="24870" xr:uid="{46E49169-710D-494D-AABD-9F5137164B75}"/>
    <cellStyle name="20% - Accent5 2 2 3 2 3" xfId="12206" xr:uid="{08813E45-C9DB-4E65-A355-CFF8D7720FCD}"/>
    <cellStyle name="20% - Accent5 2 2 3 2 4" xfId="20653" xr:uid="{77C48B0B-989E-49CA-9F27-3DF0825EE00B}"/>
    <cellStyle name="20% - Accent5 2 2 3 3" xfId="4952" xr:uid="{00000000-0005-0000-0000-00009B020000}"/>
    <cellStyle name="20% - Accent5 2 2 3 3 2" xfId="14278" xr:uid="{97D1137D-71EB-4532-87D9-16C22F84CC32}"/>
    <cellStyle name="20% - Accent5 2 2 3 3 3" xfId="22725" xr:uid="{D87AC94E-949D-481D-ABED-AC7F35B424AA}"/>
    <cellStyle name="20% - Accent5 2 2 3 4" xfId="9324" xr:uid="{6094FEE1-8E2A-466F-9CDF-43EB9EE581FF}"/>
    <cellStyle name="20% - Accent5 2 2 3 5" xfId="10061" xr:uid="{0C15DF3A-0404-4623-8AF1-F922AFC58402}"/>
    <cellStyle name="20% - Accent5 2 2 3 6" xfId="18508" xr:uid="{107FA3DF-48DA-481D-95F2-9431A1CC5F83}"/>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3BF6362D-ED21-4624-94ED-E71F15C295B8}"/>
    <cellStyle name="20% - Accent5 2 2 4 2 2 3" xfId="25283" xr:uid="{AF54D50E-A24F-45A3-A355-F64753703B27}"/>
    <cellStyle name="20% - Accent5 2 2 4 2 3" xfId="12619" xr:uid="{1A963EBF-C87D-4883-9DC0-C557E36E890B}"/>
    <cellStyle name="20% - Accent5 2 2 4 2 4" xfId="21066" xr:uid="{8ECD32D0-0454-4FC8-9F0A-6DE9D32532A9}"/>
    <cellStyle name="20% - Accent5 2 2 4 3" xfId="5365" xr:uid="{00000000-0005-0000-0000-00009F020000}"/>
    <cellStyle name="20% - Accent5 2 2 4 3 2" xfId="14691" xr:uid="{01CDED6B-B0AA-4208-89F5-406188586636}"/>
    <cellStyle name="20% - Accent5 2 2 4 3 3" xfId="23138" xr:uid="{F4AEF94D-102A-48AA-9AB9-71A710048891}"/>
    <cellStyle name="20% - Accent5 2 2 4 4" xfId="10474" xr:uid="{8AF2B954-A265-4812-8F34-E138FF44D2B1}"/>
    <cellStyle name="20% - Accent5 2 2 4 5" xfId="18921" xr:uid="{51C13502-F8D8-4A98-932F-CF0D72394584}"/>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D37E496D-C56C-449F-9E8E-ED5B225879C6}"/>
    <cellStyle name="20% - Accent5 2 2 5 2 2 3" xfId="25696" xr:uid="{39113F80-EE43-4398-9919-FFCA5F1C7396}"/>
    <cellStyle name="20% - Accent5 2 2 5 2 3" xfId="13032" xr:uid="{565054E4-F651-432C-B2A4-8F37C3A1213E}"/>
    <cellStyle name="20% - Accent5 2 2 5 2 4" xfId="21479" xr:uid="{AE298726-F7A5-4588-8292-222A0443AB9D}"/>
    <cellStyle name="20% - Accent5 2 2 5 3" xfId="5778" xr:uid="{00000000-0005-0000-0000-0000A3020000}"/>
    <cellStyle name="20% - Accent5 2 2 5 3 2" xfId="15104" xr:uid="{8BE148EB-F2C5-40AF-928E-6059239F616A}"/>
    <cellStyle name="20% - Accent5 2 2 5 3 3" xfId="23551" xr:uid="{3030AA45-ED60-4388-9554-CFDD7DEB44FD}"/>
    <cellStyle name="20% - Accent5 2 2 5 4" xfId="10887" xr:uid="{F541CA48-0AFB-497B-AB53-78D491C3B7C8}"/>
    <cellStyle name="20% - Accent5 2 2 5 5" xfId="19334" xr:uid="{CFC0CC96-FD4F-4722-A041-F97C341668A8}"/>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E56A58D9-9101-43C4-A4D2-E437DC5AF697}"/>
    <cellStyle name="20% - Accent5 2 2 6 2 2 3" xfId="26109" xr:uid="{5ACAC666-95DC-48B6-869D-BA4BB5E954C3}"/>
    <cellStyle name="20% - Accent5 2 2 6 2 3" xfId="13445" xr:uid="{AA831900-190D-47F7-A931-B7EC9E9B89D4}"/>
    <cellStyle name="20% - Accent5 2 2 6 2 4" xfId="21892" xr:uid="{72EC42E8-96A9-4E77-8448-1BF2999367EC}"/>
    <cellStyle name="20% - Accent5 2 2 6 3" xfId="6191" xr:uid="{00000000-0005-0000-0000-0000A7020000}"/>
    <cellStyle name="20% - Accent5 2 2 6 3 2" xfId="15517" xr:uid="{9224B7C4-A56D-4EB7-82CF-2EC674E9F86C}"/>
    <cellStyle name="20% - Accent5 2 2 6 3 3" xfId="23964" xr:uid="{0A9C6707-1E3E-47EF-86D7-FF922C179178}"/>
    <cellStyle name="20% - Accent5 2 2 6 4" xfId="11300" xr:uid="{AA7B484C-2C84-4770-B670-4A1AC4C27D34}"/>
    <cellStyle name="20% - Accent5 2 2 6 5" xfId="19747" xr:uid="{82189C07-2B24-4964-8C1C-13062BCB9C42}"/>
    <cellStyle name="20% - Accent5 2 2 7" xfId="2298" xr:uid="{00000000-0005-0000-0000-0000A8020000}"/>
    <cellStyle name="20% - Accent5 2 2 7 2" xfId="6604" xr:uid="{00000000-0005-0000-0000-0000A9020000}"/>
    <cellStyle name="20% - Accent5 2 2 7 2 2" xfId="15930" xr:uid="{010B7EFB-B0C3-46DF-9851-E82CDEBEEDB3}"/>
    <cellStyle name="20% - Accent5 2 2 7 2 3" xfId="24377" xr:uid="{A1523F0D-14FE-44E7-88F3-DE3E2D3DCC05}"/>
    <cellStyle name="20% - Accent5 2 2 7 3" xfId="11713" xr:uid="{3BD3A503-DC3C-4D87-A491-1C6203DF9716}"/>
    <cellStyle name="20% - Accent5 2 2 7 4" xfId="20160" xr:uid="{AF58062C-A4F9-41DA-873F-3FB115CD9075}"/>
    <cellStyle name="20% - Accent5 2 2 8" xfId="4538" xr:uid="{00000000-0005-0000-0000-0000AA020000}"/>
    <cellStyle name="20% - Accent5 2 2 8 2" xfId="13864" xr:uid="{68B9438A-A059-4C60-8249-E1CF58F4B354}"/>
    <cellStyle name="20% - Accent5 2 2 8 3" xfId="22311" xr:uid="{452E42F2-4EB5-4D14-8455-BD8CBC9A0EE2}"/>
    <cellStyle name="20% - Accent5 2 2 9" xfId="8899" xr:uid="{0E8F9EC8-D565-41C9-B716-FF597FFF35B9}"/>
    <cellStyle name="20% - Accent5 2 3" xfId="37" xr:uid="{00000000-0005-0000-0000-0000AB020000}"/>
    <cellStyle name="20% - Accent5 2 3 10" xfId="18096" xr:uid="{AA147CF3-6D39-471D-B82E-73A3F61E49CD}"/>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EBB2EA4A-F2E5-40F8-B6B8-1EC785C47818}"/>
    <cellStyle name="20% - Accent5 2 3 2 2 2 3" xfId="24872" xr:uid="{1DF354F1-EFC1-4C00-879B-8341F4FE4335}"/>
    <cellStyle name="20% - Accent5 2 3 2 2 3" xfId="12208" xr:uid="{1337715F-5D09-4040-B2B2-A8F190F394B9}"/>
    <cellStyle name="20% - Accent5 2 3 2 2 4" xfId="20655" xr:uid="{47B64BDF-AF92-4CA1-8A23-8372E80C8990}"/>
    <cellStyle name="20% - Accent5 2 3 2 3" xfId="4954" xr:uid="{00000000-0005-0000-0000-0000AF020000}"/>
    <cellStyle name="20% - Accent5 2 3 2 3 2" xfId="14280" xr:uid="{C2E1855F-83DB-42A8-8342-0252BEF05843}"/>
    <cellStyle name="20% - Accent5 2 3 2 3 3" xfId="22727" xr:uid="{39460D4F-1757-4E3A-B7AF-662881A9133E}"/>
    <cellStyle name="20% - Accent5 2 3 2 4" xfId="9428" xr:uid="{B7820ACF-E1F3-4653-B5DD-FD829B169E84}"/>
    <cellStyle name="20% - Accent5 2 3 2 5" xfId="10063" xr:uid="{032E7192-1064-4186-A726-9DC49CCECF49}"/>
    <cellStyle name="20% - Accent5 2 3 2 6" xfId="18510" xr:uid="{EE735792-15C4-41E8-8D79-FBEEC2A6356D}"/>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27B29D09-F53B-48B0-97E6-D827205E0D35}"/>
    <cellStyle name="20% - Accent5 2 3 3 2 2 3" xfId="25285" xr:uid="{AC2B7AA5-2CCF-44BF-B221-CB8434219117}"/>
    <cellStyle name="20% - Accent5 2 3 3 2 3" xfId="12621" xr:uid="{C6C85B3B-E3D5-4B0C-AAC6-BE28E1BABF5A}"/>
    <cellStyle name="20% - Accent5 2 3 3 2 4" xfId="21068" xr:uid="{C6D1816A-683A-41E4-8572-759C2F1E1127}"/>
    <cellStyle name="20% - Accent5 2 3 3 3" xfId="5367" xr:uid="{00000000-0005-0000-0000-0000B3020000}"/>
    <cellStyle name="20% - Accent5 2 3 3 3 2" xfId="14693" xr:uid="{CDDD5218-A29B-4007-9F73-23A09925BEDE}"/>
    <cellStyle name="20% - Accent5 2 3 3 3 3" xfId="23140" xr:uid="{07E85E88-343E-431B-BA73-4A4DC3E03BB7}"/>
    <cellStyle name="20% - Accent5 2 3 3 4" xfId="10476" xr:uid="{931548A4-CD47-42DD-83D5-B3757BC5210D}"/>
    <cellStyle name="20% - Accent5 2 3 3 5" xfId="18923" xr:uid="{53022680-5481-46B0-87A6-59EB6CDCEA7F}"/>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835A310A-84C2-4E21-A66A-44BBEEEA1AB7}"/>
    <cellStyle name="20% - Accent5 2 3 4 2 2 3" xfId="25698" xr:uid="{5C68F559-81EC-4E0F-9FAE-4B53142FB2D3}"/>
    <cellStyle name="20% - Accent5 2 3 4 2 3" xfId="13034" xr:uid="{78E3925A-5FC4-4295-BE6B-072DA7D78423}"/>
    <cellStyle name="20% - Accent5 2 3 4 2 4" xfId="21481" xr:uid="{1D1F0060-EEC6-4189-8DE0-E1001ED9DC7B}"/>
    <cellStyle name="20% - Accent5 2 3 4 3" xfId="5780" xr:uid="{00000000-0005-0000-0000-0000B7020000}"/>
    <cellStyle name="20% - Accent5 2 3 4 3 2" xfId="15106" xr:uid="{B40ED2FF-9E09-474C-BFE0-CCC15BABD466}"/>
    <cellStyle name="20% - Accent5 2 3 4 3 3" xfId="23553" xr:uid="{DF2216EA-25A6-4934-912D-7077D33DBFE2}"/>
    <cellStyle name="20% - Accent5 2 3 4 4" xfId="10889" xr:uid="{3660E882-3970-4684-A860-1FB9DB77CDD9}"/>
    <cellStyle name="20% - Accent5 2 3 4 5" xfId="19336" xr:uid="{CC40B060-5188-4DE3-B03C-DCE59EC0A72D}"/>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30023780-801F-4E12-894C-49445A39E18D}"/>
    <cellStyle name="20% - Accent5 2 3 5 2 2 3" xfId="26111" xr:uid="{A79D94A7-466E-43B9-8552-ECDF49533659}"/>
    <cellStyle name="20% - Accent5 2 3 5 2 3" xfId="13447" xr:uid="{2C5F865A-4DB3-4238-97A7-9C369966F1BE}"/>
    <cellStyle name="20% - Accent5 2 3 5 2 4" xfId="21894" xr:uid="{56BC4431-F2BD-4A42-8C3B-89BFE06473FC}"/>
    <cellStyle name="20% - Accent5 2 3 5 3" xfId="6193" xr:uid="{00000000-0005-0000-0000-0000BB020000}"/>
    <cellStyle name="20% - Accent5 2 3 5 3 2" xfId="15519" xr:uid="{8B2E5405-291C-4F3F-97CB-D4A0B44C9359}"/>
    <cellStyle name="20% - Accent5 2 3 5 3 3" xfId="23966" xr:uid="{80B58746-4F9F-496E-A8D0-6ED868523478}"/>
    <cellStyle name="20% - Accent5 2 3 5 4" xfId="11302" xr:uid="{FC631CD0-1EA8-4F1C-9276-2AE02268FA3A}"/>
    <cellStyle name="20% - Accent5 2 3 5 5" xfId="19749" xr:uid="{6F5D195D-4137-4EF3-B9AF-B5CFEAD5C964}"/>
    <cellStyle name="20% - Accent5 2 3 6" xfId="2300" xr:uid="{00000000-0005-0000-0000-0000BC020000}"/>
    <cellStyle name="20% - Accent5 2 3 6 2" xfId="6606" xr:uid="{00000000-0005-0000-0000-0000BD020000}"/>
    <cellStyle name="20% - Accent5 2 3 6 2 2" xfId="15932" xr:uid="{7D7BA4E3-36E7-49FE-8265-6423EAE30CA0}"/>
    <cellStyle name="20% - Accent5 2 3 6 2 3" xfId="24379" xr:uid="{CB2E7938-2CBE-4155-931D-B1462F3664B7}"/>
    <cellStyle name="20% - Accent5 2 3 6 3" xfId="11715" xr:uid="{0E014145-C5C5-4C3D-AF67-009A24087E95}"/>
    <cellStyle name="20% - Accent5 2 3 6 4" xfId="20162" xr:uid="{4AC4AE53-725A-4622-827C-38F4C9FBB667}"/>
    <cellStyle name="20% - Accent5 2 3 7" xfId="4540" xr:uid="{00000000-0005-0000-0000-0000BE020000}"/>
    <cellStyle name="20% - Accent5 2 3 7 2" xfId="13866" xr:uid="{ABBE6BB3-AA31-4A67-8529-FFBF9170B37A}"/>
    <cellStyle name="20% - Accent5 2 3 7 3" xfId="22313" xr:uid="{702DCCCA-2DF8-4537-95E6-14E3915CE4CB}"/>
    <cellStyle name="20% - Accent5 2 3 8" xfId="9003" xr:uid="{9830E7D1-E361-4BA3-A986-3DCE647EEF8E}"/>
    <cellStyle name="20% - Accent5 2 3 9" xfId="9649" xr:uid="{52F27FE9-2DC4-4B6A-8A74-D4B2F87728BF}"/>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1696BA80-53A2-4DCF-91E8-A1CDE65245BD}"/>
    <cellStyle name="20% - Accent5 2 4 2 2 3" xfId="24869" xr:uid="{174B5D09-9359-4731-A42A-3EEE8A4A16CF}"/>
    <cellStyle name="20% - Accent5 2 4 2 3" xfId="12205" xr:uid="{B88247BF-DB85-446F-86A5-64DF4AD77BFA}"/>
    <cellStyle name="20% - Accent5 2 4 2 4" xfId="20652" xr:uid="{9F8B357D-9FCC-4C80-81A7-A2D379115D5B}"/>
    <cellStyle name="20% - Accent5 2 4 3" xfId="4951" xr:uid="{00000000-0005-0000-0000-0000C2020000}"/>
    <cellStyle name="20% - Accent5 2 4 3 2" xfId="14277" xr:uid="{BF1BDFBA-F589-479A-AF81-A2528CA922F6}"/>
    <cellStyle name="20% - Accent5 2 4 3 3" xfId="22724" xr:uid="{06B273F5-D099-4D6A-B4D9-C446A400C485}"/>
    <cellStyle name="20% - Accent5 2 4 4" xfId="9220" xr:uid="{A7B88928-FE72-4C1B-B74E-3CA76DBA84CC}"/>
    <cellStyle name="20% - Accent5 2 4 5" xfId="10060" xr:uid="{8162984F-8267-47FF-86AC-91865B1C0D35}"/>
    <cellStyle name="20% - Accent5 2 4 6" xfId="18507" xr:uid="{5E49BC23-BC19-49EA-B02D-B893B0827857}"/>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E2B4A1E0-F04B-43A8-A537-DEFA42BA9265}"/>
    <cellStyle name="20% - Accent5 2 5 2 2 3" xfId="25282" xr:uid="{9D2DDCE6-A4F5-445A-B1A6-E607C9F99068}"/>
    <cellStyle name="20% - Accent5 2 5 2 3" xfId="12618" xr:uid="{BD5A114D-60FB-41F4-BAA1-92B873BC67A2}"/>
    <cellStyle name="20% - Accent5 2 5 2 4" xfId="21065" xr:uid="{4167DCA1-F11E-4E98-98B3-F57D82E03093}"/>
    <cellStyle name="20% - Accent5 2 5 3" xfId="5364" xr:uid="{00000000-0005-0000-0000-0000C6020000}"/>
    <cellStyle name="20% - Accent5 2 5 3 2" xfId="14690" xr:uid="{3DDCB4A6-761D-4140-99B7-8721AB724B97}"/>
    <cellStyle name="20% - Accent5 2 5 3 3" xfId="23137" xr:uid="{467D246F-08D4-4A87-A063-AEFB6ABD90C7}"/>
    <cellStyle name="20% - Accent5 2 5 4" xfId="10473" xr:uid="{95DE73BE-F0F0-44B6-9DA5-61F252C497BA}"/>
    <cellStyle name="20% - Accent5 2 5 5" xfId="18920" xr:uid="{97A6C206-AB75-4262-9DA9-D65179C8B79C}"/>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288398A1-F89B-4D29-8266-B7CF0D8DD22A}"/>
    <cellStyle name="20% - Accent5 2 6 2 2 3" xfId="25695" xr:uid="{95F2820B-1A4D-4154-8EDC-E9618BAEC635}"/>
    <cellStyle name="20% - Accent5 2 6 2 3" xfId="13031" xr:uid="{C1C97A52-9C39-4B44-8261-A95E43D91DF8}"/>
    <cellStyle name="20% - Accent5 2 6 2 4" xfId="21478" xr:uid="{A96F3DB6-545E-49A7-AB4E-3092159EE42A}"/>
    <cellStyle name="20% - Accent5 2 6 3" xfId="5777" xr:uid="{00000000-0005-0000-0000-0000CA020000}"/>
    <cellStyle name="20% - Accent5 2 6 3 2" xfId="15103" xr:uid="{56D8EB14-BDB9-4648-970B-61F0526F2ADA}"/>
    <cellStyle name="20% - Accent5 2 6 3 3" xfId="23550" xr:uid="{6D00A5E0-0A23-4CFE-9BA3-1053C81ADA63}"/>
    <cellStyle name="20% - Accent5 2 6 4" xfId="10886" xr:uid="{FF38EF5C-5955-4BCF-AAE7-1C1C40A9EFB8}"/>
    <cellStyle name="20% - Accent5 2 6 5" xfId="19333" xr:uid="{554090E6-61E5-4515-91B9-379791621CA9}"/>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7F749458-1F52-49CD-BB92-947548110059}"/>
    <cellStyle name="20% - Accent5 2 7 2 2 3" xfId="26108" xr:uid="{EB42D289-1940-4896-9250-7838BA059360}"/>
    <cellStyle name="20% - Accent5 2 7 2 3" xfId="13444" xr:uid="{1B2054CE-3A0E-4566-A5D2-D7FBA4A6E319}"/>
    <cellStyle name="20% - Accent5 2 7 2 4" xfId="21891" xr:uid="{E71961DE-E718-4FAC-89B8-630C71DF5173}"/>
    <cellStyle name="20% - Accent5 2 7 3" xfId="6190" xr:uid="{00000000-0005-0000-0000-0000CE020000}"/>
    <cellStyle name="20% - Accent5 2 7 3 2" xfId="15516" xr:uid="{76009DB6-BB1C-4B36-AB61-B00B3A28F81A}"/>
    <cellStyle name="20% - Accent5 2 7 3 3" xfId="23963" xr:uid="{9D86422A-C6D3-4280-A252-1036D43785FF}"/>
    <cellStyle name="20% - Accent5 2 7 4" xfId="11299" xr:uid="{BE542FDF-CC53-48BF-A830-A602F2AA5F8F}"/>
    <cellStyle name="20% - Accent5 2 7 5" xfId="19746" xr:uid="{344460E2-518B-438C-8AFE-620B8A7E4C53}"/>
    <cellStyle name="20% - Accent5 2 8" xfId="2297" xr:uid="{00000000-0005-0000-0000-0000CF020000}"/>
    <cellStyle name="20% - Accent5 2 8 2" xfId="6603" xr:uid="{00000000-0005-0000-0000-0000D0020000}"/>
    <cellStyle name="20% - Accent5 2 8 2 2" xfId="15929" xr:uid="{EA1C5AE2-049F-475A-95D7-B0552CB33211}"/>
    <cellStyle name="20% - Accent5 2 8 2 3" xfId="24376" xr:uid="{F4717301-AD4D-4B64-B31C-0A5E5C6E7AD0}"/>
    <cellStyle name="20% - Accent5 2 8 3" xfId="11712" xr:uid="{927E8C1A-011C-4198-BE1B-BF92D1525E5A}"/>
    <cellStyle name="20% - Accent5 2 8 4" xfId="20159" xr:uid="{EB936032-19FC-4F4E-8222-DBA549BE6CDD}"/>
    <cellStyle name="20% - Accent5 2 9" xfId="4537" xr:uid="{00000000-0005-0000-0000-0000D1020000}"/>
    <cellStyle name="20% - Accent5 2 9 2" xfId="13863" xr:uid="{93ABC0A3-27BB-441C-8AD9-6A759294EEDD}"/>
    <cellStyle name="20% - Accent5 2 9 3" xfId="22310" xr:uid="{721C7F58-F301-46D7-A0FC-A0C6DAFF5212}"/>
    <cellStyle name="20% - Accent5 3" xfId="38" xr:uid="{00000000-0005-0000-0000-0000D2020000}"/>
    <cellStyle name="20% - Accent5 3 10" xfId="9650" xr:uid="{95FF4156-50E6-41D7-94E4-02C7328F71D6}"/>
    <cellStyle name="20% - Accent5 3 11" xfId="18097" xr:uid="{BEC6A4CB-BCE0-44C7-9B60-00C99B75A29F}"/>
    <cellStyle name="20% - Accent5 3 2" xfId="39" xr:uid="{00000000-0005-0000-0000-0000D3020000}"/>
    <cellStyle name="20% - Accent5 3 2 10" xfId="18098" xr:uid="{126B1E35-68CC-418C-8174-02DC2425BC75}"/>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A67749E5-83BE-43EE-B6AA-0556BA8BD18B}"/>
    <cellStyle name="20% - Accent5 3 2 2 2 2 3" xfId="24874" xr:uid="{87093E76-C1CD-4E02-A4EA-AD07D61B80AB}"/>
    <cellStyle name="20% - Accent5 3 2 2 2 3" xfId="12210" xr:uid="{C52611C3-E597-4D96-A06E-2B65B8A07695}"/>
    <cellStyle name="20% - Accent5 3 2 2 2 4" xfId="20657" xr:uid="{7624CDFA-B47D-46EC-ADA9-CB61024A80A8}"/>
    <cellStyle name="20% - Accent5 3 2 2 3" xfId="4956" xr:uid="{00000000-0005-0000-0000-0000D7020000}"/>
    <cellStyle name="20% - Accent5 3 2 2 3 2" xfId="14282" xr:uid="{BE115AF6-D893-4F8A-8288-8FE93A504261}"/>
    <cellStyle name="20% - Accent5 3 2 2 3 3" xfId="22729" xr:uid="{FC480FFC-F8F5-42E1-9B48-B71CBDC7E361}"/>
    <cellStyle name="20% - Accent5 3 2 2 4" xfId="9501" xr:uid="{82A590A5-96D4-476E-8E6F-D81EEE08C409}"/>
    <cellStyle name="20% - Accent5 3 2 2 5" xfId="10065" xr:uid="{5BB21B58-F0F1-49D0-895E-031611144C6C}"/>
    <cellStyle name="20% - Accent5 3 2 2 6" xfId="18512" xr:uid="{AD3AD501-E8F2-4294-AEBE-B9AA11C97304}"/>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F51E6891-D4C4-4C51-BBFC-842C6452D2AB}"/>
    <cellStyle name="20% - Accent5 3 2 3 2 2 3" xfId="25287" xr:uid="{8AC4A9DD-B4CC-41B8-98CE-ECD4CB8C046E}"/>
    <cellStyle name="20% - Accent5 3 2 3 2 3" xfId="12623" xr:uid="{FADD6A2F-C026-488E-8026-92962145BB99}"/>
    <cellStyle name="20% - Accent5 3 2 3 2 4" xfId="21070" xr:uid="{29455CF5-6F1E-4CF6-81A1-B7E6A5DCE51C}"/>
    <cellStyle name="20% - Accent5 3 2 3 3" xfId="5369" xr:uid="{00000000-0005-0000-0000-0000DB020000}"/>
    <cellStyle name="20% - Accent5 3 2 3 3 2" xfId="14695" xr:uid="{75A007D4-DAF1-4B93-9235-BFCA0BE17406}"/>
    <cellStyle name="20% - Accent5 3 2 3 3 3" xfId="23142" xr:uid="{43A26FAA-DE7F-421A-B485-510C28BE4B40}"/>
    <cellStyle name="20% - Accent5 3 2 3 4" xfId="10478" xr:uid="{B3BC2934-222B-4E2D-B387-16C342869C78}"/>
    <cellStyle name="20% - Accent5 3 2 3 5" xfId="18925" xr:uid="{B704D74D-464E-44AB-A611-256184FBA5C8}"/>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62F0C62E-3E38-45CA-995A-D26F2ACFD5A7}"/>
    <cellStyle name="20% - Accent5 3 2 4 2 2 3" xfId="25700" xr:uid="{C1644D73-B59E-4B7E-B853-CECA56420EFB}"/>
    <cellStyle name="20% - Accent5 3 2 4 2 3" xfId="13036" xr:uid="{96B70354-6E0F-4217-8A5D-8AA18ED7F144}"/>
    <cellStyle name="20% - Accent5 3 2 4 2 4" xfId="21483" xr:uid="{47059708-18EF-47A4-936F-96D88B0CDEC3}"/>
    <cellStyle name="20% - Accent5 3 2 4 3" xfId="5782" xr:uid="{00000000-0005-0000-0000-0000DF020000}"/>
    <cellStyle name="20% - Accent5 3 2 4 3 2" xfId="15108" xr:uid="{E8B41F85-784F-44B5-8414-E5C79A190FAA}"/>
    <cellStyle name="20% - Accent5 3 2 4 3 3" xfId="23555" xr:uid="{ECCBEB89-DE22-4807-8FF4-1247221C8753}"/>
    <cellStyle name="20% - Accent5 3 2 4 4" xfId="10891" xr:uid="{C328E00C-8993-432A-BF49-39A54DD758B6}"/>
    <cellStyle name="20% - Accent5 3 2 4 5" xfId="19338" xr:uid="{0AF59293-1F57-4990-9B66-E042E05F1A63}"/>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200925DD-1701-4100-931D-71E46D8D4B4B}"/>
    <cellStyle name="20% - Accent5 3 2 5 2 2 3" xfId="26113" xr:uid="{09E7CE75-3D53-43B4-8D37-4DF8B0746E0A}"/>
    <cellStyle name="20% - Accent5 3 2 5 2 3" xfId="13449" xr:uid="{32EE8ECC-89B1-4B27-B12F-2A196BD9AA6A}"/>
    <cellStyle name="20% - Accent5 3 2 5 2 4" xfId="21896" xr:uid="{B2C0CE05-9A3E-4CD2-85B6-7F2578EA67AD}"/>
    <cellStyle name="20% - Accent5 3 2 5 3" xfId="6195" xr:uid="{00000000-0005-0000-0000-0000E3020000}"/>
    <cellStyle name="20% - Accent5 3 2 5 3 2" xfId="15521" xr:uid="{A17BB974-1FED-4A0A-B091-3EEEB80472AD}"/>
    <cellStyle name="20% - Accent5 3 2 5 3 3" xfId="23968" xr:uid="{D5E92839-FA7F-4E22-B75D-3CED81BB1A0C}"/>
    <cellStyle name="20% - Accent5 3 2 5 4" xfId="11304" xr:uid="{BE1A5763-FFDA-44C4-8BCD-F494680491A6}"/>
    <cellStyle name="20% - Accent5 3 2 5 5" xfId="19751" xr:uid="{5B0AD05C-FFD9-4AB0-A102-1A6C97B42E5A}"/>
    <cellStyle name="20% - Accent5 3 2 6" xfId="2302" xr:uid="{00000000-0005-0000-0000-0000E4020000}"/>
    <cellStyle name="20% - Accent5 3 2 6 2" xfId="6608" xr:uid="{00000000-0005-0000-0000-0000E5020000}"/>
    <cellStyle name="20% - Accent5 3 2 6 2 2" xfId="15934" xr:uid="{A32D00A9-C4AA-4FBA-B0E2-118AE46514F8}"/>
    <cellStyle name="20% - Accent5 3 2 6 2 3" xfId="24381" xr:uid="{6FD8360E-3C07-4494-9243-F9BC61249167}"/>
    <cellStyle name="20% - Accent5 3 2 6 3" xfId="11717" xr:uid="{F9DBE21B-C2B8-4E54-9293-FC1877A0D350}"/>
    <cellStyle name="20% - Accent5 3 2 6 4" xfId="20164" xr:uid="{C67C15E3-7575-47FB-AAA4-F5FAE6ED6B29}"/>
    <cellStyle name="20% - Accent5 3 2 7" xfId="4542" xr:uid="{00000000-0005-0000-0000-0000E6020000}"/>
    <cellStyle name="20% - Accent5 3 2 7 2" xfId="13868" xr:uid="{BE99A815-69B5-4EFF-9350-C305DC4510F9}"/>
    <cellStyle name="20% - Accent5 3 2 7 3" xfId="22315" xr:uid="{8D5A7E7F-F5E9-45BA-BA1D-5061AB55A4E5}"/>
    <cellStyle name="20% - Accent5 3 2 8" xfId="9076" xr:uid="{BEDF1D01-35A3-4513-9363-9C1AFC748168}"/>
    <cellStyle name="20% - Accent5 3 2 9" xfId="9651" xr:uid="{1816BAE6-3AF8-4A75-B43E-51E5CF23BCC4}"/>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31D62A08-D5A1-4708-8219-C7C0CA1C6425}"/>
    <cellStyle name="20% - Accent5 3 3 2 2 3" xfId="24873" xr:uid="{9176B8E8-267D-4BF1-8735-73F04E48EAD9}"/>
    <cellStyle name="20% - Accent5 3 3 2 3" xfId="12209" xr:uid="{B982CBDB-BF2B-4214-9B62-F8ECAFA365F9}"/>
    <cellStyle name="20% - Accent5 3 3 2 4" xfId="20656" xr:uid="{7C4E8149-89EE-4F1A-8D2A-1E1D496751B3}"/>
    <cellStyle name="20% - Accent5 3 3 3" xfId="4955" xr:uid="{00000000-0005-0000-0000-0000EA020000}"/>
    <cellStyle name="20% - Accent5 3 3 3 2" xfId="14281" xr:uid="{DDAE189F-9F1A-48D9-B9E9-DDB11523AC78}"/>
    <cellStyle name="20% - Accent5 3 3 3 3" xfId="22728" xr:uid="{89B8C930-C05F-415D-AA32-485AB64B34C8}"/>
    <cellStyle name="20% - Accent5 3 3 4" xfId="9294" xr:uid="{124960EA-C7A4-4686-BF67-47D6C57F7EEB}"/>
    <cellStyle name="20% - Accent5 3 3 5" xfId="10064" xr:uid="{0D670650-F345-45D9-8DAB-72E1EB216ACA}"/>
    <cellStyle name="20% - Accent5 3 3 6" xfId="18511" xr:uid="{7EAAF91E-1A6E-4D6F-BA1D-D6F38A0BF987}"/>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0C81396A-05D2-4C07-8585-CFC79B9E578F}"/>
    <cellStyle name="20% - Accent5 3 4 2 2 3" xfId="25286" xr:uid="{9081C0B9-9CF4-4CEC-8DEE-61920A4BC74C}"/>
    <cellStyle name="20% - Accent5 3 4 2 3" xfId="12622" xr:uid="{23B0F51D-F640-4883-8459-ACC313DBDA59}"/>
    <cellStyle name="20% - Accent5 3 4 2 4" xfId="21069" xr:uid="{9344F7A2-CADE-474F-9FCB-DF4A14AF1942}"/>
    <cellStyle name="20% - Accent5 3 4 3" xfId="5368" xr:uid="{00000000-0005-0000-0000-0000EE020000}"/>
    <cellStyle name="20% - Accent5 3 4 3 2" xfId="14694" xr:uid="{91FE7110-4864-4947-8CD1-DDF9C24C3996}"/>
    <cellStyle name="20% - Accent5 3 4 3 3" xfId="23141" xr:uid="{28F7DD0C-9871-477A-ADDC-CCCE112DAC69}"/>
    <cellStyle name="20% - Accent5 3 4 4" xfId="10477" xr:uid="{0460E204-5E89-40D9-B910-305E95ABC64B}"/>
    <cellStyle name="20% - Accent5 3 4 5" xfId="18924" xr:uid="{27EFFDCE-576B-4989-8A96-9C7AD7CF2A30}"/>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A499CDF1-D87F-4872-85DD-2CE556451490}"/>
    <cellStyle name="20% - Accent5 3 5 2 2 3" xfId="25699" xr:uid="{E667C001-769F-4C48-996D-00354B7E3962}"/>
    <cellStyle name="20% - Accent5 3 5 2 3" xfId="13035" xr:uid="{5B161A62-72F2-443E-B497-79F99F8F1514}"/>
    <cellStyle name="20% - Accent5 3 5 2 4" xfId="21482" xr:uid="{0C92DA4C-31CE-47C4-AFE2-3D20C64F7503}"/>
    <cellStyle name="20% - Accent5 3 5 3" xfId="5781" xr:uid="{00000000-0005-0000-0000-0000F2020000}"/>
    <cellStyle name="20% - Accent5 3 5 3 2" xfId="15107" xr:uid="{BA4DEC5E-43BC-48BB-AC3B-024327C3C6CE}"/>
    <cellStyle name="20% - Accent5 3 5 3 3" xfId="23554" xr:uid="{2AF996F9-A514-4229-B8B4-2504B0FFDC17}"/>
    <cellStyle name="20% - Accent5 3 5 4" xfId="10890" xr:uid="{80454738-4135-4441-9FCD-96BEDEC33144}"/>
    <cellStyle name="20% - Accent5 3 5 5" xfId="19337" xr:uid="{40192861-EA17-4536-8C5C-B97E6532567E}"/>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3B447131-317A-4A96-AC92-4B0FF8E50ECB}"/>
    <cellStyle name="20% - Accent5 3 6 2 2 3" xfId="26112" xr:uid="{5603F6B6-EB3F-43A6-BFF6-4F4404DC55D9}"/>
    <cellStyle name="20% - Accent5 3 6 2 3" xfId="13448" xr:uid="{0CBA7C94-A7CB-4816-88A5-99FC38460737}"/>
    <cellStyle name="20% - Accent5 3 6 2 4" xfId="21895" xr:uid="{F82845CB-1B9D-4D11-B1F1-D80E1B3E30A4}"/>
    <cellStyle name="20% - Accent5 3 6 3" xfId="6194" xr:uid="{00000000-0005-0000-0000-0000F6020000}"/>
    <cellStyle name="20% - Accent5 3 6 3 2" xfId="15520" xr:uid="{A50A2FB4-2F3C-409F-9C99-A3AEDE9A897A}"/>
    <cellStyle name="20% - Accent5 3 6 3 3" xfId="23967" xr:uid="{F2A9B48A-DE25-4601-8C80-E7FD419B90A3}"/>
    <cellStyle name="20% - Accent5 3 6 4" xfId="11303" xr:uid="{55471567-AD53-42D5-A1B2-3D6DA66A7873}"/>
    <cellStyle name="20% - Accent5 3 6 5" xfId="19750" xr:uid="{D37B9411-42B3-4475-9202-1057987CD192}"/>
    <cellStyle name="20% - Accent5 3 7" xfId="2301" xr:uid="{00000000-0005-0000-0000-0000F7020000}"/>
    <cellStyle name="20% - Accent5 3 7 2" xfId="6607" xr:uid="{00000000-0005-0000-0000-0000F8020000}"/>
    <cellStyle name="20% - Accent5 3 7 2 2" xfId="15933" xr:uid="{A746F805-6E6E-4B3A-9381-4378D3E89F2B}"/>
    <cellStyle name="20% - Accent5 3 7 2 3" xfId="24380" xr:uid="{F11F84AF-F51D-4B2B-B1F2-A99264C64CBB}"/>
    <cellStyle name="20% - Accent5 3 7 3" xfId="11716" xr:uid="{EC6E23C8-23FC-4683-B6B6-94147D93D3C9}"/>
    <cellStyle name="20% - Accent5 3 7 4" xfId="20163" xr:uid="{C8874889-EAA7-4000-932D-C1A6DFB0CB10}"/>
    <cellStyle name="20% - Accent5 3 8" xfId="4541" xr:uid="{00000000-0005-0000-0000-0000F9020000}"/>
    <cellStyle name="20% - Accent5 3 8 2" xfId="13867" xr:uid="{7784FB57-ACC4-47D6-8BA9-7A664C79FAB4}"/>
    <cellStyle name="20% - Accent5 3 8 3" xfId="22314" xr:uid="{AE88EBF4-0F14-48AF-A58D-2357B268EC6B}"/>
    <cellStyle name="20% - Accent5 3 9" xfId="8869" xr:uid="{43CC8A87-AEEB-4E51-98E7-F8AE8D86AD2B}"/>
    <cellStyle name="20% - Accent5 4" xfId="40" xr:uid="{00000000-0005-0000-0000-0000FA020000}"/>
    <cellStyle name="20% - Accent5 4 10" xfId="18099" xr:uid="{956EA2AF-F1E7-4CA0-A768-77D359549154}"/>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D9EA1211-A6F3-48E0-AF69-439A9B37C56C}"/>
    <cellStyle name="20% - Accent5 4 2 2 2 3" xfId="24875" xr:uid="{E37E9919-F665-42C5-87BB-499AAF44878A}"/>
    <cellStyle name="20% - Accent5 4 2 2 3" xfId="12211" xr:uid="{F88DBBBE-D301-4B01-8A3A-855298569478}"/>
    <cellStyle name="20% - Accent5 4 2 2 4" xfId="20658" xr:uid="{6A073860-D058-4B43-9DBE-517A0DF985A6}"/>
    <cellStyle name="20% - Accent5 4 2 3" xfId="4957" xr:uid="{00000000-0005-0000-0000-0000FE020000}"/>
    <cellStyle name="20% - Accent5 4 2 3 2" xfId="14283" xr:uid="{E2769091-9B5C-431D-BBF1-1F8D4D237DED}"/>
    <cellStyle name="20% - Accent5 4 2 3 3" xfId="22730" xr:uid="{40835A42-F2F1-45E4-98A8-965FF92F8AB6}"/>
    <cellStyle name="20% - Accent5 4 2 4" xfId="9380" xr:uid="{1C764D65-D71C-4646-AD86-15F83BDBF498}"/>
    <cellStyle name="20% - Accent5 4 2 5" xfId="10066" xr:uid="{5FEAA6BC-E7F1-441F-8926-AF84252D96B2}"/>
    <cellStyle name="20% - Accent5 4 2 6" xfId="18513" xr:uid="{15812812-959B-472A-94BC-9F32185F67FF}"/>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D8BDA425-5C1D-4898-B0C1-F0F54CB48CAD}"/>
    <cellStyle name="20% - Accent5 4 3 2 2 3" xfId="25288" xr:uid="{1B377232-53C7-4167-BC79-3A6B2B15A61B}"/>
    <cellStyle name="20% - Accent5 4 3 2 3" xfId="12624" xr:uid="{22A52165-C608-451D-9914-CFBE3AAD6AC7}"/>
    <cellStyle name="20% - Accent5 4 3 2 4" xfId="21071" xr:uid="{D79E02EC-F10B-43AF-8FD8-D2700EF86459}"/>
    <cellStyle name="20% - Accent5 4 3 3" xfId="5370" xr:uid="{00000000-0005-0000-0000-000002030000}"/>
    <cellStyle name="20% - Accent5 4 3 3 2" xfId="14696" xr:uid="{C8B4922A-F347-49A9-B5C4-88C2AB849374}"/>
    <cellStyle name="20% - Accent5 4 3 3 3" xfId="23143" xr:uid="{F9EA72A6-260A-462C-83E9-6B3B44B0C5DC}"/>
    <cellStyle name="20% - Accent5 4 3 4" xfId="10479" xr:uid="{32D71EC8-B11D-469D-A20E-23E3FF8B0A6E}"/>
    <cellStyle name="20% - Accent5 4 3 5" xfId="18926" xr:uid="{5B21FCDB-558E-4B8A-8DB6-1F3DF8D6B1E7}"/>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4E02A69E-4934-4C80-B59C-CBD1BFA04434}"/>
    <cellStyle name="20% - Accent5 4 4 2 2 3" xfId="25701" xr:uid="{42019A28-551D-4375-8E5C-A7FA14DD0964}"/>
    <cellStyle name="20% - Accent5 4 4 2 3" xfId="13037" xr:uid="{1D84E362-C9B0-4832-A4CF-DE6D4CD87F02}"/>
    <cellStyle name="20% - Accent5 4 4 2 4" xfId="21484" xr:uid="{B9A3B94C-DE7B-4E58-8231-850998D849C1}"/>
    <cellStyle name="20% - Accent5 4 4 3" xfId="5783" xr:uid="{00000000-0005-0000-0000-000006030000}"/>
    <cellStyle name="20% - Accent5 4 4 3 2" xfId="15109" xr:uid="{97EAEA5D-62C0-4962-915B-9F47E25A8532}"/>
    <cellStyle name="20% - Accent5 4 4 3 3" xfId="23556" xr:uid="{D4B5896F-4974-469A-BDEE-53C519561E75}"/>
    <cellStyle name="20% - Accent5 4 4 4" xfId="10892" xr:uid="{2BABB168-0466-4409-A410-0B384CCA19AB}"/>
    <cellStyle name="20% - Accent5 4 4 5" xfId="19339" xr:uid="{C08608B4-77C3-4D3E-A184-4736C353D9F3}"/>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85632BFE-ECFA-4A72-9EF5-31C39C1DE761}"/>
    <cellStyle name="20% - Accent5 4 5 2 2 3" xfId="26114" xr:uid="{57C57C45-A4DC-41A0-B1E6-7AD72EC4993B}"/>
    <cellStyle name="20% - Accent5 4 5 2 3" xfId="13450" xr:uid="{C5724F3E-1A94-409B-9241-5AEF26398F76}"/>
    <cellStyle name="20% - Accent5 4 5 2 4" xfId="21897" xr:uid="{6FD5F8CA-4480-4FC3-AFE2-33942A02C736}"/>
    <cellStyle name="20% - Accent5 4 5 3" xfId="6196" xr:uid="{00000000-0005-0000-0000-00000A030000}"/>
    <cellStyle name="20% - Accent5 4 5 3 2" xfId="15522" xr:uid="{BC5D45CB-4726-4C8B-91B0-4C9AFA4B9B12}"/>
    <cellStyle name="20% - Accent5 4 5 3 3" xfId="23969" xr:uid="{8D9B5E6E-26F0-4929-A35C-212F917E55AA}"/>
    <cellStyle name="20% - Accent5 4 5 4" xfId="11305" xr:uid="{2F048482-C08D-4741-A2E4-AE29482EFE0C}"/>
    <cellStyle name="20% - Accent5 4 5 5" xfId="19752" xr:uid="{04F3A60F-1BAB-42E0-BDDB-B16673B48739}"/>
    <cellStyle name="20% - Accent5 4 6" xfId="2303" xr:uid="{00000000-0005-0000-0000-00000B030000}"/>
    <cellStyle name="20% - Accent5 4 6 2" xfId="6609" xr:uid="{00000000-0005-0000-0000-00000C030000}"/>
    <cellStyle name="20% - Accent5 4 6 2 2" xfId="15935" xr:uid="{169FB599-20E3-4F22-882A-E275C91AB448}"/>
    <cellStyle name="20% - Accent5 4 6 2 3" xfId="24382" xr:uid="{AF57ECC0-9BC8-4CFF-8D5C-2958CC769FCE}"/>
    <cellStyle name="20% - Accent5 4 6 3" xfId="11718" xr:uid="{F3E866A7-1E6D-4770-9E0F-44CB285542C2}"/>
    <cellStyle name="20% - Accent5 4 6 4" xfId="20165" xr:uid="{430990DB-CEAA-473D-B4C8-DE34417D1CD8}"/>
    <cellStyle name="20% - Accent5 4 7" xfId="4543" xr:uid="{00000000-0005-0000-0000-00000D030000}"/>
    <cellStyle name="20% - Accent5 4 7 2" xfId="13869" xr:uid="{60769013-E5D1-401F-8515-0F782DFAEB55}"/>
    <cellStyle name="20% - Accent5 4 7 3" xfId="22316" xr:uid="{659B6A82-101D-4745-B03A-70169B66D553}"/>
    <cellStyle name="20% - Accent5 4 8" xfId="8955" xr:uid="{8AD43D76-8747-44EC-8D3B-2720ADF9D1B1}"/>
    <cellStyle name="20% - Accent5 4 9" xfId="9652" xr:uid="{181655D4-3B74-44EF-AD37-3DFD3078830C}"/>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3785E039-B0B2-4D78-A66B-2D2E020E50DE}"/>
    <cellStyle name="20% - Accent5 5 2 2 3" xfId="24868" xr:uid="{16E622BB-C7AA-4BF9-A3F9-8C3925162148}"/>
    <cellStyle name="20% - Accent5 5 2 3" xfId="12204" xr:uid="{350C2821-455D-453F-85EC-168A173329A0}"/>
    <cellStyle name="20% - Accent5 5 2 4" xfId="20651" xr:uid="{99BFD50A-5C72-49DD-A881-59719F237B24}"/>
    <cellStyle name="20% - Accent5 5 3" xfId="4950" xr:uid="{00000000-0005-0000-0000-000011030000}"/>
    <cellStyle name="20% - Accent5 5 3 2" xfId="14276" xr:uid="{A2FEF0D2-226A-462F-92F8-819851423C77}"/>
    <cellStyle name="20% - Accent5 5 3 3" xfId="22723" xr:uid="{07E58EC0-AD3B-4B48-80FB-4B3761EED9D3}"/>
    <cellStyle name="20% - Accent5 5 4" xfId="9188" xr:uid="{164CF7CE-7706-426C-90AA-4867A06E28BD}"/>
    <cellStyle name="20% - Accent5 5 5" xfId="10059" xr:uid="{A0F0CDA6-40B9-4FB9-841E-FCC920BE3A5D}"/>
    <cellStyle name="20% - Accent5 5 6" xfId="18506" xr:uid="{5A066DB1-6435-41B2-9179-0A7E841DE919}"/>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FEBB24C4-EEB2-4919-8285-B57C7A2586EC}"/>
    <cellStyle name="20% - Accent5 6 2 2 3" xfId="25281" xr:uid="{9FE89C20-D382-4395-83AE-0A46D3000597}"/>
    <cellStyle name="20% - Accent5 6 2 3" xfId="12617" xr:uid="{7FA492BB-5AA9-4BE6-B94D-D6E2A84D0A0A}"/>
    <cellStyle name="20% - Accent5 6 2 4" xfId="21064" xr:uid="{84C369E0-8E0A-4A83-93AE-6D829593C89C}"/>
    <cellStyle name="20% - Accent5 6 3" xfId="5363" xr:uid="{00000000-0005-0000-0000-000015030000}"/>
    <cellStyle name="20% - Accent5 6 3 2" xfId="14689" xr:uid="{FE78DB4A-764E-4828-94F1-2231CC645B5D}"/>
    <cellStyle name="20% - Accent5 6 3 3" xfId="23136" xr:uid="{025C40BE-E0D2-4A9C-8AE2-3B35DDE72B02}"/>
    <cellStyle name="20% - Accent5 6 4" xfId="10472" xr:uid="{8859D647-F1B4-4916-9DB4-1DFD8E17235C}"/>
    <cellStyle name="20% - Accent5 6 5" xfId="18919" xr:uid="{7ED7AD48-0391-485D-B45C-42BB926D6E9D}"/>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198FA78C-B088-48B5-9CCE-971252FFDE0C}"/>
    <cellStyle name="20% - Accent5 7 2 2 3" xfId="25694" xr:uid="{6E8AD7BE-FD2D-445E-B03A-0A66C9D15449}"/>
    <cellStyle name="20% - Accent5 7 2 3" xfId="13030" xr:uid="{01CBB16C-17CC-4491-8476-47A0167ED476}"/>
    <cellStyle name="20% - Accent5 7 2 4" xfId="21477" xr:uid="{21EA8597-87E8-40E0-8521-A7D194A916BD}"/>
    <cellStyle name="20% - Accent5 7 3" xfId="5776" xr:uid="{00000000-0005-0000-0000-000019030000}"/>
    <cellStyle name="20% - Accent5 7 3 2" xfId="15102" xr:uid="{0306F29A-F7BD-40AE-BAAF-9C25A1D5E232}"/>
    <cellStyle name="20% - Accent5 7 3 3" xfId="23549" xr:uid="{54043149-7D86-4B14-B1BA-4765D5E951D9}"/>
    <cellStyle name="20% - Accent5 7 4" xfId="10885" xr:uid="{F04B14A4-E816-425B-8BC6-6F057D754235}"/>
    <cellStyle name="20% - Accent5 7 5" xfId="19332" xr:uid="{BD8103C3-537A-488A-99AC-62644F59CF8A}"/>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5D56E92C-14A8-4E03-82C0-87C35B9E8966}"/>
    <cellStyle name="20% - Accent5 8 2 2 3" xfId="26107" xr:uid="{BE1F26EA-ED92-4F3D-93C7-8C2026B85A45}"/>
    <cellStyle name="20% - Accent5 8 2 3" xfId="13443" xr:uid="{E757A736-1518-4B5F-A7CB-C9891412E42D}"/>
    <cellStyle name="20% - Accent5 8 2 4" xfId="21890" xr:uid="{6DF864E9-CBE0-49AD-B8B6-DD2D8C3CC7C7}"/>
    <cellStyle name="20% - Accent5 8 3" xfId="6189" xr:uid="{00000000-0005-0000-0000-00001D030000}"/>
    <cellStyle name="20% - Accent5 8 3 2" xfId="15515" xr:uid="{C598A7ED-5EB8-4701-9051-A10E164DF61D}"/>
    <cellStyle name="20% - Accent5 8 3 3" xfId="23962" xr:uid="{9A0E9C47-2B79-4070-81E2-9E527FD42189}"/>
    <cellStyle name="20% - Accent5 8 4" xfId="11298" xr:uid="{35342499-C47F-417D-A8D9-6FA329B2EDF8}"/>
    <cellStyle name="20% - Accent5 8 5" xfId="19745" xr:uid="{1AD801EF-95F6-4E3E-9AA4-41EAB85E4F72}"/>
    <cellStyle name="20% - Accent5 9" xfId="2296" xr:uid="{00000000-0005-0000-0000-00001E030000}"/>
    <cellStyle name="20% - Accent5 9 2" xfId="6602" xr:uid="{00000000-0005-0000-0000-00001F030000}"/>
    <cellStyle name="20% - Accent5 9 2 2" xfId="15928" xr:uid="{89D89D5F-C170-449A-BE36-3108DE1BE39F}"/>
    <cellStyle name="20% - Accent5 9 2 3" xfId="24375" xr:uid="{0662EA3A-CD03-489B-891E-D66029FCAF5A}"/>
    <cellStyle name="20% - Accent5 9 3" xfId="11711" xr:uid="{B85305DA-9BB6-4889-B2F6-A1B074BAD045}"/>
    <cellStyle name="20% - Accent5 9 4" xfId="20158" xr:uid="{9BCF6A2C-B496-4CA6-8D8B-471C51B1152E}"/>
    <cellStyle name="20% - Accent6" xfId="41" builtinId="50" customBuiltin="1"/>
    <cellStyle name="20% - Accent6 10" xfId="4544" xr:uid="{00000000-0005-0000-0000-000021030000}"/>
    <cellStyle name="20% - Accent6 10 2" xfId="13870" xr:uid="{48273297-880F-4D46-9FC3-18C12A6E74E3}"/>
    <cellStyle name="20% - Accent6 10 3" xfId="22317" xr:uid="{0A9C09C7-BDDA-4AF0-8AA5-4FD6C2CB6320}"/>
    <cellStyle name="20% - Accent6 11" xfId="8768" xr:uid="{5A1F1293-A19F-445F-908A-D9DBB6265CA0}"/>
    <cellStyle name="20% - Accent6 12" xfId="9653" xr:uid="{3F43BAA3-4B15-4A65-A9B2-1E3E9806F410}"/>
    <cellStyle name="20% - Accent6 13" xfId="18100" xr:uid="{C27DE2BD-0BCA-43B0-BECA-D0EF472C0E57}"/>
    <cellStyle name="20% - Accent6 2" xfId="42" xr:uid="{00000000-0005-0000-0000-000022030000}"/>
    <cellStyle name="20% - Accent6 2 10" xfId="8795" xr:uid="{9A35B19E-8802-437A-ABDC-7B06A4E07F58}"/>
    <cellStyle name="20% - Accent6 2 11" xfId="9654" xr:uid="{ACC70D97-390C-41A0-9687-E0A6703DCDDB}"/>
    <cellStyle name="20% - Accent6 2 12" xfId="18101" xr:uid="{08087FF6-4F64-4253-B35A-809070ED2132}"/>
    <cellStyle name="20% - Accent6 2 2" xfId="43" xr:uid="{00000000-0005-0000-0000-000023030000}"/>
    <cellStyle name="20% - Accent6 2 2 10" xfId="9655" xr:uid="{27ABC6EF-3F15-4877-8069-26F3FE4060A5}"/>
    <cellStyle name="20% - Accent6 2 2 11" xfId="18102" xr:uid="{3AC4A1DF-4999-4896-99CA-6F7C6D000EBE}"/>
    <cellStyle name="20% - Accent6 2 2 2" xfId="44" xr:uid="{00000000-0005-0000-0000-000024030000}"/>
    <cellStyle name="20% - Accent6 2 2 2 10" xfId="18103" xr:uid="{E2EAC139-4587-4380-A38F-C124121079DC}"/>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7EED4C1A-0A3E-4F6C-BE59-0DCA02540B76}"/>
    <cellStyle name="20% - Accent6 2 2 2 2 2 2 3" xfId="24879" xr:uid="{1959E512-BC8B-4915-A17A-E13B83D3F641}"/>
    <cellStyle name="20% - Accent6 2 2 2 2 2 3" xfId="12215" xr:uid="{060CFFEE-90AC-4655-A421-BCFE06A99986}"/>
    <cellStyle name="20% - Accent6 2 2 2 2 2 4" xfId="20662" xr:uid="{ED876860-6514-4471-A8EF-ED6E4B1165C0}"/>
    <cellStyle name="20% - Accent6 2 2 2 2 3" xfId="4961" xr:uid="{00000000-0005-0000-0000-000028030000}"/>
    <cellStyle name="20% - Accent6 2 2 2 2 3 2" xfId="14287" xr:uid="{3BA7A5B0-C357-44CA-9804-E563B916A8D2}"/>
    <cellStyle name="20% - Accent6 2 2 2 2 3 3" xfId="22734" xr:uid="{6A08C045-B890-46D3-8F4A-9D4BF7DD0A67}"/>
    <cellStyle name="20% - Accent6 2 2 2 2 4" xfId="9530" xr:uid="{AFD3EE0E-70EF-4C1B-B994-7B8E7E8187BC}"/>
    <cellStyle name="20% - Accent6 2 2 2 2 5" xfId="10070" xr:uid="{F66DC6EF-1815-4CB9-878D-B6993CC9B441}"/>
    <cellStyle name="20% - Accent6 2 2 2 2 6" xfId="18517" xr:uid="{787AB0EB-52C0-4CE1-8442-D9FD1FA0FEAB}"/>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D7B127FF-2F07-4E1D-8E9F-CDE3192EA1E8}"/>
    <cellStyle name="20% - Accent6 2 2 2 3 2 2 3" xfId="25292" xr:uid="{413C5C93-F18C-41FB-8F96-B96D47C8E0C1}"/>
    <cellStyle name="20% - Accent6 2 2 2 3 2 3" xfId="12628" xr:uid="{5517423F-AE60-4157-A1CD-4F81DC1CF4E7}"/>
    <cellStyle name="20% - Accent6 2 2 2 3 2 4" xfId="21075" xr:uid="{89C72682-4EF0-45CC-A13E-20019231CFAE}"/>
    <cellStyle name="20% - Accent6 2 2 2 3 3" xfId="5374" xr:uid="{00000000-0005-0000-0000-00002C030000}"/>
    <cellStyle name="20% - Accent6 2 2 2 3 3 2" xfId="14700" xr:uid="{A803A900-C97A-4015-A037-89761F67696C}"/>
    <cellStyle name="20% - Accent6 2 2 2 3 3 3" xfId="23147" xr:uid="{247A3D17-0087-45E3-84DC-5E43F3442011}"/>
    <cellStyle name="20% - Accent6 2 2 2 3 4" xfId="10483" xr:uid="{ED7D2E31-3B5E-4BF1-84C6-BE31333E1CE9}"/>
    <cellStyle name="20% - Accent6 2 2 2 3 5" xfId="18930" xr:uid="{A2C37541-F279-4B4B-9492-749DCBB1A247}"/>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E6833B82-BF69-49AE-83E1-C99469609CF3}"/>
    <cellStyle name="20% - Accent6 2 2 2 4 2 2 3" xfId="25705" xr:uid="{5827DB44-2829-47A8-8BDF-DA3453C51D50}"/>
    <cellStyle name="20% - Accent6 2 2 2 4 2 3" xfId="13041" xr:uid="{A7D21EE6-1542-438B-B0E1-29FB7329833E}"/>
    <cellStyle name="20% - Accent6 2 2 2 4 2 4" xfId="21488" xr:uid="{B9B0D928-17A1-4AD8-94E2-26E04C7DAD14}"/>
    <cellStyle name="20% - Accent6 2 2 2 4 3" xfId="5787" xr:uid="{00000000-0005-0000-0000-000030030000}"/>
    <cellStyle name="20% - Accent6 2 2 2 4 3 2" xfId="15113" xr:uid="{A50E1CD9-0D9A-4896-9D2A-9C0FC7775F70}"/>
    <cellStyle name="20% - Accent6 2 2 2 4 3 3" xfId="23560" xr:uid="{0EC05304-8E69-447A-B65B-71678A9130EF}"/>
    <cellStyle name="20% - Accent6 2 2 2 4 4" xfId="10896" xr:uid="{425493BB-3AC4-4009-B029-425C99509B60}"/>
    <cellStyle name="20% - Accent6 2 2 2 4 5" xfId="19343" xr:uid="{16C64BDF-D41B-49C9-BA66-0CF80879713A}"/>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6866D394-5793-4C96-84C3-0397621820CA}"/>
    <cellStyle name="20% - Accent6 2 2 2 5 2 2 3" xfId="26118" xr:uid="{AD2827B5-68F8-4DA9-A68C-BE62317C7DF4}"/>
    <cellStyle name="20% - Accent6 2 2 2 5 2 3" xfId="13454" xr:uid="{D24BE2D2-C8C2-4547-A179-43F505E707B6}"/>
    <cellStyle name="20% - Accent6 2 2 2 5 2 4" xfId="21901" xr:uid="{4DFF4B38-26EF-4AF7-A929-94E942E32355}"/>
    <cellStyle name="20% - Accent6 2 2 2 5 3" xfId="6200" xr:uid="{00000000-0005-0000-0000-000034030000}"/>
    <cellStyle name="20% - Accent6 2 2 2 5 3 2" xfId="15526" xr:uid="{B4380A3F-D949-4223-9F0C-25476051968B}"/>
    <cellStyle name="20% - Accent6 2 2 2 5 3 3" xfId="23973" xr:uid="{E365F916-DEED-4A4C-89FF-9B95C94011D1}"/>
    <cellStyle name="20% - Accent6 2 2 2 5 4" xfId="11309" xr:uid="{8A9090B6-BFFE-4C68-A4B7-E4FD92D260BE}"/>
    <cellStyle name="20% - Accent6 2 2 2 5 5" xfId="19756" xr:uid="{9F0673D9-9177-4D1B-B52C-6F373FDEF65A}"/>
    <cellStyle name="20% - Accent6 2 2 2 6" xfId="2307" xr:uid="{00000000-0005-0000-0000-000035030000}"/>
    <cellStyle name="20% - Accent6 2 2 2 6 2" xfId="6613" xr:uid="{00000000-0005-0000-0000-000036030000}"/>
    <cellStyle name="20% - Accent6 2 2 2 6 2 2" xfId="15939" xr:uid="{AD49B389-955B-40BE-8B1D-2CD4CBC95B66}"/>
    <cellStyle name="20% - Accent6 2 2 2 6 2 3" xfId="24386" xr:uid="{FF3852EF-3ED9-4D10-B0CD-1404B8F4FE2B}"/>
    <cellStyle name="20% - Accent6 2 2 2 6 3" xfId="11722" xr:uid="{5C0B1C48-8BA1-4DAE-B8FB-C080E1FC1376}"/>
    <cellStyle name="20% - Accent6 2 2 2 6 4" xfId="20169" xr:uid="{38C2CBD7-17C3-4A1F-9EEB-28BDEC24D91F}"/>
    <cellStyle name="20% - Accent6 2 2 2 7" xfId="4547" xr:uid="{00000000-0005-0000-0000-000037030000}"/>
    <cellStyle name="20% - Accent6 2 2 2 7 2" xfId="13873" xr:uid="{93492A3D-0513-4C30-BC10-9B69C29837DC}"/>
    <cellStyle name="20% - Accent6 2 2 2 7 3" xfId="22320" xr:uid="{1C26B9E9-C6C3-4F38-9108-0380D7F280F5}"/>
    <cellStyle name="20% - Accent6 2 2 2 8" xfId="9105" xr:uid="{2D3B6B01-F2FB-4D08-A7F9-9902961EFB46}"/>
    <cellStyle name="20% - Accent6 2 2 2 9" xfId="9656" xr:uid="{6FB7C633-AAEA-4A9A-A96C-13A172A649B7}"/>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9584E231-833A-47B2-9131-8186BA7AD5A0}"/>
    <cellStyle name="20% - Accent6 2 2 3 2 2 3" xfId="24878" xr:uid="{00BBC25E-BE53-4983-BC13-1DC1E405C8C6}"/>
    <cellStyle name="20% - Accent6 2 2 3 2 3" xfId="12214" xr:uid="{159F3551-DE7D-48FE-B129-885ABF49034C}"/>
    <cellStyle name="20% - Accent6 2 2 3 2 4" xfId="20661" xr:uid="{ED380404-DB04-40AA-BF17-F9BD5C256652}"/>
    <cellStyle name="20% - Accent6 2 2 3 3" xfId="4960" xr:uid="{00000000-0005-0000-0000-00003B030000}"/>
    <cellStyle name="20% - Accent6 2 2 3 3 2" xfId="14286" xr:uid="{64165270-51FD-4745-B9E0-DB6E8BC4A881}"/>
    <cellStyle name="20% - Accent6 2 2 3 3 3" xfId="22733" xr:uid="{E3B91FAB-F85A-4F0F-A578-5A7AE968A72F}"/>
    <cellStyle name="20% - Accent6 2 2 3 4" xfId="9323" xr:uid="{93CC3C58-EC1C-4AC6-8D02-E00EFD80A494}"/>
    <cellStyle name="20% - Accent6 2 2 3 5" xfId="10069" xr:uid="{3DBF9F11-53DA-40DA-8A0D-3D0FCBD295F4}"/>
    <cellStyle name="20% - Accent6 2 2 3 6" xfId="18516" xr:uid="{EB4BCA7D-595A-4A40-9233-39A10D10E4F6}"/>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D558BCB2-9949-4BD1-822D-B9152262C1BF}"/>
    <cellStyle name="20% - Accent6 2 2 4 2 2 3" xfId="25291" xr:uid="{18293293-FC59-448B-BDEA-18986EB7E3CD}"/>
    <cellStyle name="20% - Accent6 2 2 4 2 3" xfId="12627" xr:uid="{2F47C2A8-6DFE-4813-9335-8C9CC9411B0D}"/>
    <cellStyle name="20% - Accent6 2 2 4 2 4" xfId="21074" xr:uid="{AED1B23B-FCAE-4BDC-9415-73758C9069EE}"/>
    <cellStyle name="20% - Accent6 2 2 4 3" xfId="5373" xr:uid="{00000000-0005-0000-0000-00003F030000}"/>
    <cellStyle name="20% - Accent6 2 2 4 3 2" xfId="14699" xr:uid="{32051338-AF21-40C8-8348-E925F2EE5104}"/>
    <cellStyle name="20% - Accent6 2 2 4 3 3" xfId="23146" xr:uid="{DD31005E-674C-4CA7-A080-8FE92F55DE4A}"/>
    <cellStyle name="20% - Accent6 2 2 4 4" xfId="10482" xr:uid="{5495F82C-F8C8-4947-A4FD-2D0EF91FC4F3}"/>
    <cellStyle name="20% - Accent6 2 2 4 5" xfId="18929" xr:uid="{FB57D0F6-5172-45E9-BC36-4748BDE83FA9}"/>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26FBB8A7-942E-4BE0-AC4A-3932DAB74A51}"/>
    <cellStyle name="20% - Accent6 2 2 5 2 2 3" xfId="25704" xr:uid="{7102A2BF-1E52-4CDF-8CA1-D0C41F4071FD}"/>
    <cellStyle name="20% - Accent6 2 2 5 2 3" xfId="13040" xr:uid="{3E76E222-3F88-4BE2-88CE-61518DD84222}"/>
    <cellStyle name="20% - Accent6 2 2 5 2 4" xfId="21487" xr:uid="{1513AFA3-31B8-48D0-A93F-3DEFB5A91211}"/>
    <cellStyle name="20% - Accent6 2 2 5 3" xfId="5786" xr:uid="{00000000-0005-0000-0000-000043030000}"/>
    <cellStyle name="20% - Accent6 2 2 5 3 2" xfId="15112" xr:uid="{E606C297-6789-4027-AFB8-321F35B245A8}"/>
    <cellStyle name="20% - Accent6 2 2 5 3 3" xfId="23559" xr:uid="{6013F5BC-1C0C-4FBB-9D57-8CDA3A5108FB}"/>
    <cellStyle name="20% - Accent6 2 2 5 4" xfId="10895" xr:uid="{F3F76BEE-F7E7-49ED-BB18-432C3E18E975}"/>
    <cellStyle name="20% - Accent6 2 2 5 5" xfId="19342" xr:uid="{244B4335-EF2A-4FD7-BD53-8E3B141B9171}"/>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4CBA3BC7-B8BA-4A09-97FA-DD1F0BA17D59}"/>
    <cellStyle name="20% - Accent6 2 2 6 2 2 3" xfId="26117" xr:uid="{31392A03-A57C-4437-8FA4-A0CF35FCFADE}"/>
    <cellStyle name="20% - Accent6 2 2 6 2 3" xfId="13453" xr:uid="{5B75ECD6-A629-4458-BEA6-5302682C3CDD}"/>
    <cellStyle name="20% - Accent6 2 2 6 2 4" xfId="21900" xr:uid="{6889CB78-9D64-402F-9B75-957017EDE348}"/>
    <cellStyle name="20% - Accent6 2 2 6 3" xfId="6199" xr:uid="{00000000-0005-0000-0000-000047030000}"/>
    <cellStyle name="20% - Accent6 2 2 6 3 2" xfId="15525" xr:uid="{3C7F8005-9999-471A-B0E6-55FCF7BEE064}"/>
    <cellStyle name="20% - Accent6 2 2 6 3 3" xfId="23972" xr:uid="{46187D4D-F352-401C-B2DD-C37B2C1D0556}"/>
    <cellStyle name="20% - Accent6 2 2 6 4" xfId="11308" xr:uid="{E4F1115C-0F61-496A-9F67-8ECE549DBF1A}"/>
    <cellStyle name="20% - Accent6 2 2 6 5" xfId="19755" xr:uid="{590723C3-03B9-486F-988D-28A875BF6870}"/>
    <cellStyle name="20% - Accent6 2 2 7" xfId="2306" xr:uid="{00000000-0005-0000-0000-000048030000}"/>
    <cellStyle name="20% - Accent6 2 2 7 2" xfId="6612" xr:uid="{00000000-0005-0000-0000-000049030000}"/>
    <cellStyle name="20% - Accent6 2 2 7 2 2" xfId="15938" xr:uid="{D4B7E614-82E1-407A-8020-E45F7EA18AB7}"/>
    <cellStyle name="20% - Accent6 2 2 7 2 3" xfId="24385" xr:uid="{8AF02E6F-9C01-4AAA-9A12-5DBA8007D796}"/>
    <cellStyle name="20% - Accent6 2 2 7 3" xfId="11721" xr:uid="{C3A04E96-FD0A-40F0-92C3-85A038F9E25B}"/>
    <cellStyle name="20% - Accent6 2 2 7 4" xfId="20168" xr:uid="{2D753898-A51D-433D-AE26-01E60599E922}"/>
    <cellStyle name="20% - Accent6 2 2 8" xfId="4546" xr:uid="{00000000-0005-0000-0000-00004A030000}"/>
    <cellStyle name="20% - Accent6 2 2 8 2" xfId="13872" xr:uid="{727CE244-F595-41D1-8E34-324B670DF0DA}"/>
    <cellStyle name="20% - Accent6 2 2 8 3" xfId="22319" xr:uid="{7294AC0F-112C-4B34-9FA8-0A9497DCA503}"/>
    <cellStyle name="20% - Accent6 2 2 9" xfId="8898" xr:uid="{88686F75-037F-4072-9BDC-942546C51E8F}"/>
    <cellStyle name="20% - Accent6 2 3" xfId="45" xr:uid="{00000000-0005-0000-0000-00004B030000}"/>
    <cellStyle name="20% - Accent6 2 3 10" xfId="18104" xr:uid="{25515E73-DA74-40F1-ADA8-768103A9A825}"/>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DE9F6831-7A09-497C-81B7-B0DC7324FC78}"/>
    <cellStyle name="20% - Accent6 2 3 2 2 2 3" xfId="24880" xr:uid="{88BF8BA6-A8B6-4D63-A46C-9A26C33EB77B}"/>
    <cellStyle name="20% - Accent6 2 3 2 2 3" xfId="12216" xr:uid="{53CDA569-D0EF-4249-BE1D-9FA90D284968}"/>
    <cellStyle name="20% - Accent6 2 3 2 2 4" xfId="20663" xr:uid="{A4151699-EAFD-484F-8496-87C84D2A8069}"/>
    <cellStyle name="20% - Accent6 2 3 2 3" xfId="4962" xr:uid="{00000000-0005-0000-0000-00004F030000}"/>
    <cellStyle name="20% - Accent6 2 3 2 3 2" xfId="14288" xr:uid="{1B3A9C0B-47FC-490D-A5A6-81741A6214CD}"/>
    <cellStyle name="20% - Accent6 2 3 2 3 3" xfId="22735" xr:uid="{95BFC050-C3C6-4211-A0C9-BC6E6BEFB05E}"/>
    <cellStyle name="20% - Accent6 2 3 2 4" xfId="9427" xr:uid="{009378B6-C0A8-4C7C-A9A2-F91104842D93}"/>
    <cellStyle name="20% - Accent6 2 3 2 5" xfId="10071" xr:uid="{84EC8134-5273-4BD2-A489-42ED5886DC9F}"/>
    <cellStyle name="20% - Accent6 2 3 2 6" xfId="18518" xr:uid="{5C7BA75D-A109-4AA9-A374-0F31CCBDED27}"/>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8C406601-7BDE-436D-8A93-0B3C18FCADC4}"/>
    <cellStyle name="20% - Accent6 2 3 3 2 2 3" xfId="25293" xr:uid="{E795178D-BEAF-4AAD-9653-1312F96CD700}"/>
    <cellStyle name="20% - Accent6 2 3 3 2 3" xfId="12629" xr:uid="{F7CA49F3-AF24-4E7A-B0ED-3AF557C86B3C}"/>
    <cellStyle name="20% - Accent6 2 3 3 2 4" xfId="21076" xr:uid="{001DE5B7-8A7C-4A5F-A273-2F66058AA333}"/>
    <cellStyle name="20% - Accent6 2 3 3 3" xfId="5375" xr:uid="{00000000-0005-0000-0000-000053030000}"/>
    <cellStyle name="20% - Accent6 2 3 3 3 2" xfId="14701" xr:uid="{4FE1F5D8-3827-4A91-8F8F-406BC315904B}"/>
    <cellStyle name="20% - Accent6 2 3 3 3 3" xfId="23148" xr:uid="{F4264A53-A075-442A-9AAB-AD158E1D660F}"/>
    <cellStyle name="20% - Accent6 2 3 3 4" xfId="10484" xr:uid="{36127810-CFAA-4B8E-9AF2-CCC886212CB8}"/>
    <cellStyle name="20% - Accent6 2 3 3 5" xfId="18931" xr:uid="{ACE12280-A69E-4A06-87A4-8A5645733079}"/>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593689A7-91FB-46B9-85FC-8F147F8C18C8}"/>
    <cellStyle name="20% - Accent6 2 3 4 2 2 3" xfId="25706" xr:uid="{237D6466-E0D0-4E3C-B64B-CB72FE212F4F}"/>
    <cellStyle name="20% - Accent6 2 3 4 2 3" xfId="13042" xr:uid="{35A218F1-EE4C-43CB-A975-D8D9766189EE}"/>
    <cellStyle name="20% - Accent6 2 3 4 2 4" xfId="21489" xr:uid="{9DC15698-0D77-4022-AAF1-E15BBC7C6CF3}"/>
    <cellStyle name="20% - Accent6 2 3 4 3" xfId="5788" xr:uid="{00000000-0005-0000-0000-000057030000}"/>
    <cellStyle name="20% - Accent6 2 3 4 3 2" xfId="15114" xr:uid="{43CBBCF2-456B-4C6E-AD25-244667C3288B}"/>
    <cellStyle name="20% - Accent6 2 3 4 3 3" xfId="23561" xr:uid="{236CE8A7-B3F1-41B1-82C4-EE38DFCEE765}"/>
    <cellStyle name="20% - Accent6 2 3 4 4" xfId="10897" xr:uid="{A2534D94-348C-48FA-989E-6D59508892EC}"/>
    <cellStyle name="20% - Accent6 2 3 4 5" xfId="19344" xr:uid="{34BFD73D-FDCB-427D-993B-03C2A89A45F4}"/>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FE7D6FB4-7E0B-4B2E-A4D1-CA2B9510EE9A}"/>
    <cellStyle name="20% - Accent6 2 3 5 2 2 3" xfId="26119" xr:uid="{D04C720F-9233-48EB-A784-592C41032FFA}"/>
    <cellStyle name="20% - Accent6 2 3 5 2 3" xfId="13455" xr:uid="{5724E0AB-36BB-4AFA-93B2-8A989DE53417}"/>
    <cellStyle name="20% - Accent6 2 3 5 2 4" xfId="21902" xr:uid="{136A2D84-1113-48D6-8963-045E57E4592B}"/>
    <cellStyle name="20% - Accent6 2 3 5 3" xfId="6201" xr:uid="{00000000-0005-0000-0000-00005B030000}"/>
    <cellStyle name="20% - Accent6 2 3 5 3 2" xfId="15527" xr:uid="{8120A516-C73B-4164-8736-0D93343AFFE4}"/>
    <cellStyle name="20% - Accent6 2 3 5 3 3" xfId="23974" xr:uid="{04A60ACA-B1AD-4685-BD90-147148D52ADD}"/>
    <cellStyle name="20% - Accent6 2 3 5 4" xfId="11310" xr:uid="{FCB878CA-BC72-4637-9226-FF09F64DF63C}"/>
    <cellStyle name="20% - Accent6 2 3 5 5" xfId="19757" xr:uid="{B3BCD195-7739-413F-8F85-B0884429118F}"/>
    <cellStyle name="20% - Accent6 2 3 6" xfId="2308" xr:uid="{00000000-0005-0000-0000-00005C030000}"/>
    <cellStyle name="20% - Accent6 2 3 6 2" xfId="6614" xr:uid="{00000000-0005-0000-0000-00005D030000}"/>
    <cellStyle name="20% - Accent6 2 3 6 2 2" xfId="15940" xr:uid="{807B68A1-1BCC-437D-B783-2191A5BDD0E8}"/>
    <cellStyle name="20% - Accent6 2 3 6 2 3" xfId="24387" xr:uid="{012B6096-6280-42B2-BC28-45DDAC14380E}"/>
    <cellStyle name="20% - Accent6 2 3 6 3" xfId="11723" xr:uid="{338D2F47-1B69-4811-88B6-0A6FF7454251}"/>
    <cellStyle name="20% - Accent6 2 3 6 4" xfId="20170" xr:uid="{DC3CB94A-A5A3-461E-A593-7EC122174A45}"/>
    <cellStyle name="20% - Accent6 2 3 7" xfId="4548" xr:uid="{00000000-0005-0000-0000-00005E030000}"/>
    <cellStyle name="20% - Accent6 2 3 7 2" xfId="13874" xr:uid="{0BBC2D84-BCC1-4A3D-A965-922FFB1E3259}"/>
    <cellStyle name="20% - Accent6 2 3 7 3" xfId="22321" xr:uid="{E1A94A71-278C-4966-A763-C02B37C1D142}"/>
    <cellStyle name="20% - Accent6 2 3 8" xfId="9002" xr:uid="{F69877AB-868C-474F-8F88-C5F2F1F2C041}"/>
    <cellStyle name="20% - Accent6 2 3 9" xfId="9657" xr:uid="{7E6166C6-F6A1-49C1-9696-2AD9FEC2B611}"/>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D46B9D94-35AD-4DFC-A7D5-75368EABE883}"/>
    <cellStyle name="20% - Accent6 2 4 2 2 3" xfId="24877" xr:uid="{5FD17BB5-F5CA-4D01-93C8-4FBA51E6B793}"/>
    <cellStyle name="20% - Accent6 2 4 2 3" xfId="12213" xr:uid="{13035845-81F4-4ED0-8D3F-CC4E67233160}"/>
    <cellStyle name="20% - Accent6 2 4 2 4" xfId="20660" xr:uid="{92633649-3E31-452D-8899-E4F62612FF30}"/>
    <cellStyle name="20% - Accent6 2 4 3" xfId="4959" xr:uid="{00000000-0005-0000-0000-000062030000}"/>
    <cellStyle name="20% - Accent6 2 4 3 2" xfId="14285" xr:uid="{5B5CDB30-48DE-4559-9C0E-598A4BDC74FA}"/>
    <cellStyle name="20% - Accent6 2 4 3 3" xfId="22732" xr:uid="{B2DFAC17-A9F8-4457-866B-4F407DD231F3}"/>
    <cellStyle name="20% - Accent6 2 4 4" xfId="9219" xr:uid="{C8AD75F8-261B-45C4-93F0-0E0A49EEEF79}"/>
    <cellStyle name="20% - Accent6 2 4 5" xfId="10068" xr:uid="{CFB0182A-3E2B-4D72-855F-B99FCE3FF8CF}"/>
    <cellStyle name="20% - Accent6 2 4 6" xfId="18515" xr:uid="{7F98572E-B3A5-400B-BFC9-B845A8CB6B3C}"/>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8E7AE150-1F83-4425-906D-45223449B0BB}"/>
    <cellStyle name="20% - Accent6 2 5 2 2 3" xfId="25290" xr:uid="{0FF6A2D6-6C30-4D52-89C1-71767E33CC97}"/>
    <cellStyle name="20% - Accent6 2 5 2 3" xfId="12626" xr:uid="{DCBDDD2E-7C3A-4543-9719-BCF1F33A5171}"/>
    <cellStyle name="20% - Accent6 2 5 2 4" xfId="21073" xr:uid="{FD9A0450-CAB7-4A85-B849-6655E53D0498}"/>
    <cellStyle name="20% - Accent6 2 5 3" xfId="5372" xr:uid="{00000000-0005-0000-0000-000066030000}"/>
    <cellStyle name="20% - Accent6 2 5 3 2" xfId="14698" xr:uid="{7B2331AC-59C7-44A0-9AFB-FC3FDEBC5D39}"/>
    <cellStyle name="20% - Accent6 2 5 3 3" xfId="23145" xr:uid="{2A9E0F26-74B1-42BB-80EF-BD9DB20827A1}"/>
    <cellStyle name="20% - Accent6 2 5 4" xfId="10481" xr:uid="{391794D9-FBE4-41EF-A180-F2EB74838EDC}"/>
    <cellStyle name="20% - Accent6 2 5 5" xfId="18928" xr:uid="{364B62FA-7B53-49BB-9084-9184AF7F8868}"/>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ABC08705-CB24-4C09-AD00-93406323B17C}"/>
    <cellStyle name="20% - Accent6 2 6 2 2 3" xfId="25703" xr:uid="{54F5A306-816E-4FA3-8D46-D8EE2BDAA22D}"/>
    <cellStyle name="20% - Accent6 2 6 2 3" xfId="13039" xr:uid="{C25317C4-49DB-4003-911D-3817C73B85A6}"/>
    <cellStyle name="20% - Accent6 2 6 2 4" xfId="21486" xr:uid="{7EECDA8B-9A6E-4636-984B-9F1C094AFA08}"/>
    <cellStyle name="20% - Accent6 2 6 3" xfId="5785" xr:uid="{00000000-0005-0000-0000-00006A030000}"/>
    <cellStyle name="20% - Accent6 2 6 3 2" xfId="15111" xr:uid="{6D67B3C6-1377-42B9-93A9-9F584B107E9C}"/>
    <cellStyle name="20% - Accent6 2 6 3 3" xfId="23558" xr:uid="{FB5A5941-24E8-417F-B191-D586F932F8BD}"/>
    <cellStyle name="20% - Accent6 2 6 4" xfId="10894" xr:uid="{85A6D152-F0CA-4A61-B381-92A6DB018A79}"/>
    <cellStyle name="20% - Accent6 2 6 5" xfId="19341" xr:uid="{5ACE5F75-B49A-4008-968B-ABD64A53442C}"/>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A1528CCC-7D06-4F99-8F4B-B6186C23D82E}"/>
    <cellStyle name="20% - Accent6 2 7 2 2 3" xfId="26116" xr:uid="{0B5C9810-5459-4F14-A55F-0C3ED26941CB}"/>
    <cellStyle name="20% - Accent6 2 7 2 3" xfId="13452" xr:uid="{361FE780-DEEC-4762-BEEB-5B1785DA7501}"/>
    <cellStyle name="20% - Accent6 2 7 2 4" xfId="21899" xr:uid="{DE27B1AF-0CAF-480B-9756-58D82101B07A}"/>
    <cellStyle name="20% - Accent6 2 7 3" xfId="6198" xr:uid="{00000000-0005-0000-0000-00006E030000}"/>
    <cellStyle name="20% - Accent6 2 7 3 2" xfId="15524" xr:uid="{8CCF24D0-3DEB-4F47-8A2C-7F1BE92D6EF1}"/>
    <cellStyle name="20% - Accent6 2 7 3 3" xfId="23971" xr:uid="{B55309A7-9449-44BE-9F8F-77E4278155D2}"/>
    <cellStyle name="20% - Accent6 2 7 4" xfId="11307" xr:uid="{3B59B456-43A2-4F34-A390-6A98DFFFA9CC}"/>
    <cellStyle name="20% - Accent6 2 7 5" xfId="19754" xr:uid="{8435782F-0E10-4ED2-BB0F-F646AF9A8D16}"/>
    <cellStyle name="20% - Accent6 2 8" xfId="2305" xr:uid="{00000000-0005-0000-0000-00006F030000}"/>
    <cellStyle name="20% - Accent6 2 8 2" xfId="6611" xr:uid="{00000000-0005-0000-0000-000070030000}"/>
    <cellStyle name="20% - Accent6 2 8 2 2" xfId="15937" xr:uid="{288E7B23-5631-4B1F-8BCA-9A5A3123CF6C}"/>
    <cellStyle name="20% - Accent6 2 8 2 3" xfId="24384" xr:uid="{78F222A1-AC29-4013-A278-973957B64D17}"/>
    <cellStyle name="20% - Accent6 2 8 3" xfId="11720" xr:uid="{1B579746-F531-4854-BF07-741065DF2D05}"/>
    <cellStyle name="20% - Accent6 2 8 4" xfId="20167" xr:uid="{0AFFB983-EA73-4EAD-A274-8B02B8499D5B}"/>
    <cellStyle name="20% - Accent6 2 9" xfId="4545" xr:uid="{00000000-0005-0000-0000-000071030000}"/>
    <cellStyle name="20% - Accent6 2 9 2" xfId="13871" xr:uid="{9E4E768C-DA78-4BBF-BB19-714BE805EA74}"/>
    <cellStyle name="20% - Accent6 2 9 3" xfId="22318" xr:uid="{B8251D04-F685-4012-849C-49C3E6A0025F}"/>
    <cellStyle name="20% - Accent6 3" xfId="46" xr:uid="{00000000-0005-0000-0000-000072030000}"/>
    <cellStyle name="20% - Accent6 3 10" xfId="9658" xr:uid="{85739573-9106-4299-8BF6-691F7ABB0017}"/>
    <cellStyle name="20% - Accent6 3 11" xfId="18105" xr:uid="{C70B2A8B-E3C3-4931-A8A9-AC75B2903C7B}"/>
    <cellStyle name="20% - Accent6 3 2" xfId="47" xr:uid="{00000000-0005-0000-0000-000073030000}"/>
    <cellStyle name="20% - Accent6 3 2 10" xfId="18106" xr:uid="{09D57301-4510-400C-A47C-7152F0382DD3}"/>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C8FBEA53-2217-4EE5-A405-159EFA67F871}"/>
    <cellStyle name="20% - Accent6 3 2 2 2 2 3" xfId="24882" xr:uid="{D24BEED5-4359-4FDB-AC08-EECFB8D5732A}"/>
    <cellStyle name="20% - Accent6 3 2 2 2 3" xfId="12218" xr:uid="{D696D8C7-F67C-45A7-B524-40828261C308}"/>
    <cellStyle name="20% - Accent6 3 2 2 2 4" xfId="20665" xr:uid="{647A7C0E-8336-4CD1-9FDB-734DD6DA4974}"/>
    <cellStyle name="20% - Accent6 3 2 2 3" xfId="4964" xr:uid="{00000000-0005-0000-0000-000077030000}"/>
    <cellStyle name="20% - Accent6 3 2 2 3 2" xfId="14290" xr:uid="{D6C45CAB-51F5-427D-BD6A-33DE88F6FC17}"/>
    <cellStyle name="20% - Accent6 3 2 2 3 3" xfId="22737" xr:uid="{B93F812D-6176-4863-9C9A-29BD8946A824}"/>
    <cellStyle name="20% - Accent6 3 2 2 4" xfId="9503" xr:uid="{A5A3EDF8-16EA-4A86-8795-C3BA46FE244A}"/>
    <cellStyle name="20% - Accent6 3 2 2 5" xfId="10073" xr:uid="{B061138F-FBD1-4CF7-999B-B1DA8F867E79}"/>
    <cellStyle name="20% - Accent6 3 2 2 6" xfId="18520" xr:uid="{97A304EA-FABD-4176-872D-5BD691D0F92A}"/>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906C4C92-5F69-497C-AEDF-7A1FC6C87A24}"/>
    <cellStyle name="20% - Accent6 3 2 3 2 2 3" xfId="25295" xr:uid="{C6DF3676-28F1-4256-9140-E848AFEEE060}"/>
    <cellStyle name="20% - Accent6 3 2 3 2 3" xfId="12631" xr:uid="{B261E91C-31C7-4A7B-B8C2-5C3FFF250D87}"/>
    <cellStyle name="20% - Accent6 3 2 3 2 4" xfId="21078" xr:uid="{B60DB28C-4C14-433A-8CF7-749749516B83}"/>
    <cellStyle name="20% - Accent6 3 2 3 3" xfId="5377" xr:uid="{00000000-0005-0000-0000-00007B030000}"/>
    <cellStyle name="20% - Accent6 3 2 3 3 2" xfId="14703" xr:uid="{7B2D001B-430C-48CB-AE89-D404A163FF3C}"/>
    <cellStyle name="20% - Accent6 3 2 3 3 3" xfId="23150" xr:uid="{B7EF940E-807F-4B69-A239-7EF5D196C0F9}"/>
    <cellStyle name="20% - Accent6 3 2 3 4" xfId="10486" xr:uid="{B3B2FE37-5420-46E8-BA55-56E08E9E727A}"/>
    <cellStyle name="20% - Accent6 3 2 3 5" xfId="18933" xr:uid="{B43C7ADD-7506-4F3D-BA7D-AF4148B0D27C}"/>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A63FE641-AC0F-4774-A93E-E0A119D4291F}"/>
    <cellStyle name="20% - Accent6 3 2 4 2 2 3" xfId="25708" xr:uid="{8B1B0ADB-F1C7-4CA2-95D0-E4EE91A8354E}"/>
    <cellStyle name="20% - Accent6 3 2 4 2 3" xfId="13044" xr:uid="{2523DD10-A2C2-4AC1-81D5-B4ED88310158}"/>
    <cellStyle name="20% - Accent6 3 2 4 2 4" xfId="21491" xr:uid="{6B6BB694-9EB8-4129-B6E3-E785DE33CD20}"/>
    <cellStyle name="20% - Accent6 3 2 4 3" xfId="5790" xr:uid="{00000000-0005-0000-0000-00007F030000}"/>
    <cellStyle name="20% - Accent6 3 2 4 3 2" xfId="15116" xr:uid="{B6E88D25-D92C-48EC-84D6-9835F66D86E8}"/>
    <cellStyle name="20% - Accent6 3 2 4 3 3" xfId="23563" xr:uid="{C949AD89-F93B-4819-BF36-F0008BB47C17}"/>
    <cellStyle name="20% - Accent6 3 2 4 4" xfId="10899" xr:uid="{8184714D-AE08-4869-81C5-EA50751E0119}"/>
    <cellStyle name="20% - Accent6 3 2 4 5" xfId="19346" xr:uid="{F7228255-51BF-4B9D-9637-811092A51ED2}"/>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4F50AAA5-7569-4EF2-A14A-6B036A40CFED}"/>
    <cellStyle name="20% - Accent6 3 2 5 2 2 3" xfId="26121" xr:uid="{F7CD4566-643C-4076-8A96-1407B55B4205}"/>
    <cellStyle name="20% - Accent6 3 2 5 2 3" xfId="13457" xr:uid="{C33809F4-F69C-496F-AB81-AAECD1950413}"/>
    <cellStyle name="20% - Accent6 3 2 5 2 4" xfId="21904" xr:uid="{EFCC667F-DE06-4DA3-9005-C57D0C181097}"/>
    <cellStyle name="20% - Accent6 3 2 5 3" xfId="6203" xr:uid="{00000000-0005-0000-0000-000083030000}"/>
    <cellStyle name="20% - Accent6 3 2 5 3 2" xfId="15529" xr:uid="{E7D1B347-BB94-4B4B-9E6A-83842263C206}"/>
    <cellStyle name="20% - Accent6 3 2 5 3 3" xfId="23976" xr:uid="{B4C90E8D-747C-4918-A2D3-FAB8F826DBC2}"/>
    <cellStyle name="20% - Accent6 3 2 5 4" xfId="11312" xr:uid="{238261A4-5E41-4F40-B2C5-88EDEDA59DCB}"/>
    <cellStyle name="20% - Accent6 3 2 5 5" xfId="19759" xr:uid="{653E415F-B1BE-4995-A749-8F811008EAD6}"/>
    <cellStyle name="20% - Accent6 3 2 6" xfId="2310" xr:uid="{00000000-0005-0000-0000-000084030000}"/>
    <cellStyle name="20% - Accent6 3 2 6 2" xfId="6616" xr:uid="{00000000-0005-0000-0000-000085030000}"/>
    <cellStyle name="20% - Accent6 3 2 6 2 2" xfId="15942" xr:uid="{CA418E08-18AC-4EE0-BDC8-72F192D43719}"/>
    <cellStyle name="20% - Accent6 3 2 6 2 3" xfId="24389" xr:uid="{9E81C456-3C69-4657-A461-BF66137D8AE4}"/>
    <cellStyle name="20% - Accent6 3 2 6 3" xfId="11725" xr:uid="{C0A39815-0B6E-465F-A139-EE058B5F7A78}"/>
    <cellStyle name="20% - Accent6 3 2 6 4" xfId="20172" xr:uid="{D73D6523-9C2B-47D3-93CF-5B82CB39E6D8}"/>
    <cellStyle name="20% - Accent6 3 2 7" xfId="4550" xr:uid="{00000000-0005-0000-0000-000086030000}"/>
    <cellStyle name="20% - Accent6 3 2 7 2" xfId="13876" xr:uid="{94DDDC7C-B52E-4868-BF1F-D409C50438DA}"/>
    <cellStyle name="20% - Accent6 3 2 7 3" xfId="22323" xr:uid="{D6141C83-5B9A-4B30-BB37-47AA3430F25B}"/>
    <cellStyle name="20% - Accent6 3 2 8" xfId="9078" xr:uid="{55C63253-C10A-44F0-A9A1-D3E9AD1B1E77}"/>
    <cellStyle name="20% - Accent6 3 2 9" xfId="9659" xr:uid="{90348B3B-4250-4103-B1F9-771099473065}"/>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F5174BE7-FA02-440D-B462-FDA8698EC8AB}"/>
    <cellStyle name="20% - Accent6 3 3 2 2 3" xfId="24881" xr:uid="{129E8A31-957C-432A-88D3-193D7709267B}"/>
    <cellStyle name="20% - Accent6 3 3 2 3" xfId="12217" xr:uid="{A4D451B0-1532-4419-9710-6D8EE6D557D1}"/>
    <cellStyle name="20% - Accent6 3 3 2 4" xfId="20664" xr:uid="{2FA01157-A6F3-4EA8-A3AD-83F17DB7A4DC}"/>
    <cellStyle name="20% - Accent6 3 3 3" xfId="4963" xr:uid="{00000000-0005-0000-0000-00008A030000}"/>
    <cellStyle name="20% - Accent6 3 3 3 2" xfId="14289" xr:uid="{43D181EE-17F4-4633-91F6-053AFCC2F554}"/>
    <cellStyle name="20% - Accent6 3 3 3 3" xfId="22736" xr:uid="{FA0A1170-23D3-4C26-B080-371DB07A26F6}"/>
    <cellStyle name="20% - Accent6 3 3 4" xfId="9296" xr:uid="{68DBDAD1-945F-459A-93CE-56D312D1EDE4}"/>
    <cellStyle name="20% - Accent6 3 3 5" xfId="10072" xr:uid="{A413D2CD-4B0D-479D-B176-AA972ADF9683}"/>
    <cellStyle name="20% - Accent6 3 3 6" xfId="18519" xr:uid="{32D0C875-8B16-4C11-A3B1-BE3A18B2B857}"/>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BDCDB567-1B64-4C9D-8DE9-9194A9A56623}"/>
    <cellStyle name="20% - Accent6 3 4 2 2 3" xfId="25294" xr:uid="{E953E42D-620B-4CEB-B062-F1A17F31D974}"/>
    <cellStyle name="20% - Accent6 3 4 2 3" xfId="12630" xr:uid="{1A46CD48-DA19-4FE6-9320-F05BA50DD50D}"/>
    <cellStyle name="20% - Accent6 3 4 2 4" xfId="21077" xr:uid="{03B884B2-292D-4DA8-97ED-E4098ACE7847}"/>
    <cellStyle name="20% - Accent6 3 4 3" xfId="5376" xr:uid="{00000000-0005-0000-0000-00008E030000}"/>
    <cellStyle name="20% - Accent6 3 4 3 2" xfId="14702" xr:uid="{F23ED400-D563-47D0-BA63-519BA8873A4D}"/>
    <cellStyle name="20% - Accent6 3 4 3 3" xfId="23149" xr:uid="{B12920AF-9212-42E9-A86D-894CF07A6B52}"/>
    <cellStyle name="20% - Accent6 3 4 4" xfId="10485" xr:uid="{D8117726-8A80-4233-8701-EDE7A98F4D94}"/>
    <cellStyle name="20% - Accent6 3 4 5" xfId="18932" xr:uid="{5DFF0ACC-EB04-4FAD-82DE-3F144BF1B0F6}"/>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699A7045-904C-4F81-8407-FE46AC3E3F98}"/>
    <cellStyle name="20% - Accent6 3 5 2 2 3" xfId="25707" xr:uid="{CD3DDB3A-926D-4B01-BA55-E8AFDAF9B090}"/>
    <cellStyle name="20% - Accent6 3 5 2 3" xfId="13043" xr:uid="{AD631201-8E07-4770-8B2A-7C946034221C}"/>
    <cellStyle name="20% - Accent6 3 5 2 4" xfId="21490" xr:uid="{3C54E704-7411-4384-8814-1B478396C28A}"/>
    <cellStyle name="20% - Accent6 3 5 3" xfId="5789" xr:uid="{00000000-0005-0000-0000-000092030000}"/>
    <cellStyle name="20% - Accent6 3 5 3 2" xfId="15115" xr:uid="{0DDABBD6-589A-4ABD-86C7-B4859588B231}"/>
    <cellStyle name="20% - Accent6 3 5 3 3" xfId="23562" xr:uid="{E1C82656-7FBC-4A73-A208-28F6ECDC8AD3}"/>
    <cellStyle name="20% - Accent6 3 5 4" xfId="10898" xr:uid="{AF64C3E3-CC6D-4C25-B4FA-AA620945547C}"/>
    <cellStyle name="20% - Accent6 3 5 5" xfId="19345" xr:uid="{44F039C3-CA01-433D-B988-5E1AD1809EF0}"/>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A38855C5-5668-4A2A-A5F7-32DD94EB4BE2}"/>
    <cellStyle name="20% - Accent6 3 6 2 2 3" xfId="26120" xr:uid="{4B94E0F5-3F49-4D93-BB05-80BE7E4B4765}"/>
    <cellStyle name="20% - Accent6 3 6 2 3" xfId="13456" xr:uid="{B3B6D94A-7564-4FE3-82C1-D2A7D25FB23B}"/>
    <cellStyle name="20% - Accent6 3 6 2 4" xfId="21903" xr:uid="{22FA716E-45B3-426D-967E-4D2DB35D5758}"/>
    <cellStyle name="20% - Accent6 3 6 3" xfId="6202" xr:uid="{00000000-0005-0000-0000-000096030000}"/>
    <cellStyle name="20% - Accent6 3 6 3 2" xfId="15528" xr:uid="{276BD262-FF50-4684-8E03-BC98C92693F7}"/>
    <cellStyle name="20% - Accent6 3 6 3 3" xfId="23975" xr:uid="{0D11794D-5A14-4CE5-8E39-48594DBC986A}"/>
    <cellStyle name="20% - Accent6 3 6 4" xfId="11311" xr:uid="{75E62B63-C0F5-4879-84DC-20D2A01DF66E}"/>
    <cellStyle name="20% - Accent6 3 6 5" xfId="19758" xr:uid="{2673DB04-8904-43C9-9222-DB5F72BD72C4}"/>
    <cellStyle name="20% - Accent6 3 7" xfId="2309" xr:uid="{00000000-0005-0000-0000-000097030000}"/>
    <cellStyle name="20% - Accent6 3 7 2" xfId="6615" xr:uid="{00000000-0005-0000-0000-000098030000}"/>
    <cellStyle name="20% - Accent6 3 7 2 2" xfId="15941" xr:uid="{C6A598D4-DC18-4925-B535-8D5BACC05DB2}"/>
    <cellStyle name="20% - Accent6 3 7 2 3" xfId="24388" xr:uid="{75BA335B-16A5-4967-9721-35B6D0BDD3BF}"/>
    <cellStyle name="20% - Accent6 3 7 3" xfId="11724" xr:uid="{AA5A6635-BCD9-484E-9152-F4013D1FE3F3}"/>
    <cellStyle name="20% - Accent6 3 7 4" xfId="20171" xr:uid="{E4A673B9-D151-441A-97FD-948BEB666842}"/>
    <cellStyle name="20% - Accent6 3 8" xfId="4549" xr:uid="{00000000-0005-0000-0000-000099030000}"/>
    <cellStyle name="20% - Accent6 3 8 2" xfId="13875" xr:uid="{FD2B66F5-FB80-4297-AF86-576943EB8600}"/>
    <cellStyle name="20% - Accent6 3 8 3" xfId="22322" xr:uid="{C4DF34F5-EF62-4E12-920E-F8FF5DF002DB}"/>
    <cellStyle name="20% - Accent6 3 9" xfId="8871" xr:uid="{6A653046-C3D6-46DC-9DAA-DA1241CBE9F0}"/>
    <cellStyle name="20% - Accent6 4" xfId="48" xr:uid="{00000000-0005-0000-0000-00009A030000}"/>
    <cellStyle name="20% - Accent6 4 10" xfId="18107" xr:uid="{BEF93D2F-2289-4C6A-95EB-5BF0AE123EED}"/>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D63E8BF9-46D4-4B12-B09D-D481D783735E}"/>
    <cellStyle name="20% - Accent6 4 2 2 2 3" xfId="24883" xr:uid="{0F71CB7C-3CD5-4E3C-AD29-D952FD8E76D5}"/>
    <cellStyle name="20% - Accent6 4 2 2 3" xfId="12219" xr:uid="{C139C3D2-4C3E-49EF-B970-C363337A8737}"/>
    <cellStyle name="20% - Accent6 4 2 2 4" xfId="20666" xr:uid="{876ED9BB-CBB9-44E4-933F-84F0A8648A95}"/>
    <cellStyle name="20% - Accent6 4 2 3" xfId="4965" xr:uid="{00000000-0005-0000-0000-00009E030000}"/>
    <cellStyle name="20% - Accent6 4 2 3 2" xfId="14291" xr:uid="{616F87F2-42D3-477F-A786-4864D78B6718}"/>
    <cellStyle name="20% - Accent6 4 2 3 3" xfId="22738" xr:uid="{3F14BA80-D6AE-4DC6-884F-ED559840CA52}"/>
    <cellStyle name="20% - Accent6 4 2 4" xfId="9382" xr:uid="{704ED43C-A59A-4E80-A03F-B933767E3A55}"/>
    <cellStyle name="20% - Accent6 4 2 5" xfId="10074" xr:uid="{48EAA92F-881F-4774-B25A-BEBACE2386E2}"/>
    <cellStyle name="20% - Accent6 4 2 6" xfId="18521" xr:uid="{1C2776D7-358F-4406-B3F4-746186AA90C3}"/>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769EA4A5-3D16-472E-B0CC-81A891617B9C}"/>
    <cellStyle name="20% - Accent6 4 3 2 2 3" xfId="25296" xr:uid="{DB919C09-9FE9-40B6-9E4B-C8D71439377C}"/>
    <cellStyle name="20% - Accent6 4 3 2 3" xfId="12632" xr:uid="{D44CB79E-863C-4CF0-BFDA-F33165295591}"/>
    <cellStyle name="20% - Accent6 4 3 2 4" xfId="21079" xr:uid="{B2932B48-923D-4991-B748-42B929B1E2FB}"/>
    <cellStyle name="20% - Accent6 4 3 3" xfId="5378" xr:uid="{00000000-0005-0000-0000-0000A2030000}"/>
    <cellStyle name="20% - Accent6 4 3 3 2" xfId="14704" xr:uid="{78DC4988-561C-4B59-892D-5684EE2B5BC3}"/>
    <cellStyle name="20% - Accent6 4 3 3 3" xfId="23151" xr:uid="{7AEF2F54-44D6-4DC2-B90A-2903FC8756EB}"/>
    <cellStyle name="20% - Accent6 4 3 4" xfId="10487" xr:uid="{3C37E941-596D-4BAC-83BB-2506D3966BB2}"/>
    <cellStyle name="20% - Accent6 4 3 5" xfId="18934" xr:uid="{8A6675DB-18B8-4414-B6BD-F26637CED2AA}"/>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E92FD999-E258-4737-8BF6-FA5BE2C9509A}"/>
    <cellStyle name="20% - Accent6 4 4 2 2 3" xfId="25709" xr:uid="{10BF437F-2B22-410F-8760-E802DD747535}"/>
    <cellStyle name="20% - Accent6 4 4 2 3" xfId="13045" xr:uid="{553CB746-8569-4145-8A40-4C1224924CBF}"/>
    <cellStyle name="20% - Accent6 4 4 2 4" xfId="21492" xr:uid="{1A32B147-0B4C-461C-94FB-97B9D26503AC}"/>
    <cellStyle name="20% - Accent6 4 4 3" xfId="5791" xr:uid="{00000000-0005-0000-0000-0000A6030000}"/>
    <cellStyle name="20% - Accent6 4 4 3 2" xfId="15117" xr:uid="{EF14D258-DE30-44BB-B242-93BCAFB1936F}"/>
    <cellStyle name="20% - Accent6 4 4 3 3" xfId="23564" xr:uid="{EBF8C256-9D68-45C8-9C38-998495E843F0}"/>
    <cellStyle name="20% - Accent6 4 4 4" xfId="10900" xr:uid="{71E2087D-5992-4ACE-998D-31C2DE89C798}"/>
    <cellStyle name="20% - Accent6 4 4 5" xfId="19347" xr:uid="{4DC765CD-780D-4AE8-AC3C-F0E126395204}"/>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D10DA22C-0C16-46E6-83B7-B18F96956CB6}"/>
    <cellStyle name="20% - Accent6 4 5 2 2 3" xfId="26122" xr:uid="{7CA569F6-1485-4B78-80CB-D961DEF8D2AD}"/>
    <cellStyle name="20% - Accent6 4 5 2 3" xfId="13458" xr:uid="{B7C4923E-A14C-4FF3-85F6-71F42A90FEC1}"/>
    <cellStyle name="20% - Accent6 4 5 2 4" xfId="21905" xr:uid="{66CDC400-393F-4802-9545-A2FBE7259560}"/>
    <cellStyle name="20% - Accent6 4 5 3" xfId="6204" xr:uid="{00000000-0005-0000-0000-0000AA030000}"/>
    <cellStyle name="20% - Accent6 4 5 3 2" xfId="15530" xr:uid="{80D041A9-301D-4012-AA2D-1006E3D554E0}"/>
    <cellStyle name="20% - Accent6 4 5 3 3" xfId="23977" xr:uid="{35C478CB-B0E9-4669-BB24-6572D80E2A8F}"/>
    <cellStyle name="20% - Accent6 4 5 4" xfId="11313" xr:uid="{3D38090E-286F-479B-8D94-C67E4A7BCD90}"/>
    <cellStyle name="20% - Accent6 4 5 5" xfId="19760" xr:uid="{215D656F-2577-4FF9-B013-DEFC5026E7B9}"/>
    <cellStyle name="20% - Accent6 4 6" xfId="2311" xr:uid="{00000000-0005-0000-0000-0000AB030000}"/>
    <cellStyle name="20% - Accent6 4 6 2" xfId="6617" xr:uid="{00000000-0005-0000-0000-0000AC030000}"/>
    <cellStyle name="20% - Accent6 4 6 2 2" xfId="15943" xr:uid="{4DEDC114-D9CC-4C9E-87FF-50C257EB4849}"/>
    <cellStyle name="20% - Accent6 4 6 2 3" xfId="24390" xr:uid="{332DA89C-96E0-4AA9-A902-7079A2F32737}"/>
    <cellStyle name="20% - Accent6 4 6 3" xfId="11726" xr:uid="{55CB28BE-0055-4528-9B29-7DF984908845}"/>
    <cellStyle name="20% - Accent6 4 6 4" xfId="20173" xr:uid="{A182516F-4EE5-486D-A92B-0F512A143DA7}"/>
    <cellStyle name="20% - Accent6 4 7" xfId="4551" xr:uid="{00000000-0005-0000-0000-0000AD030000}"/>
    <cellStyle name="20% - Accent6 4 7 2" xfId="13877" xr:uid="{AE7F608D-5CB8-42B1-BF26-712D8703A5D8}"/>
    <cellStyle name="20% - Accent6 4 7 3" xfId="22324" xr:uid="{1D5B1D61-FFED-4322-A6C0-6F114CD6A4FB}"/>
    <cellStyle name="20% - Accent6 4 8" xfId="8957" xr:uid="{03E1DA3A-6A3F-4C0D-9844-2D38E7BA13BC}"/>
    <cellStyle name="20% - Accent6 4 9" xfId="9660" xr:uid="{C03F4957-F269-4A1B-94C0-A2A70B0D461B}"/>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047720B7-D408-41DE-8A09-BADF26B4155E}"/>
    <cellStyle name="20% - Accent6 5 2 2 3" xfId="24876" xr:uid="{650BEDAD-18F9-44C2-ACA6-B11A6B621A02}"/>
    <cellStyle name="20% - Accent6 5 2 3" xfId="12212" xr:uid="{A26ED4FE-A6AE-467F-AABE-80C758748029}"/>
    <cellStyle name="20% - Accent6 5 2 4" xfId="20659" xr:uid="{CA7D7523-C3A6-4D78-B95F-E9466E405A44}"/>
    <cellStyle name="20% - Accent6 5 3" xfId="4958" xr:uid="{00000000-0005-0000-0000-0000B1030000}"/>
    <cellStyle name="20% - Accent6 5 3 2" xfId="14284" xr:uid="{F9BB278F-7837-4687-968A-D5B03774700E}"/>
    <cellStyle name="20% - Accent6 5 3 3" xfId="22731" xr:uid="{4EC57EA8-0B2C-4219-88DC-6B5AFE1A4ABE}"/>
    <cellStyle name="20% - Accent6 5 4" xfId="9191" xr:uid="{C812E2E5-5572-4E86-9CB6-C7C53792C044}"/>
    <cellStyle name="20% - Accent6 5 5" xfId="10067" xr:uid="{28BE31BE-6FBC-4F78-8850-5ABB0C8E32E7}"/>
    <cellStyle name="20% - Accent6 5 6" xfId="18514" xr:uid="{0F25D8D5-8DBA-4D7D-82F2-E90066110E23}"/>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54D0F7A3-A5BF-4C82-818C-F2DF1B8C03E1}"/>
    <cellStyle name="20% - Accent6 6 2 2 3" xfId="25289" xr:uid="{3FDB773C-B06D-4016-B897-7A24E276B70C}"/>
    <cellStyle name="20% - Accent6 6 2 3" xfId="12625" xr:uid="{1A27C1E2-2D6B-4C46-8EE5-7C79CA759A79}"/>
    <cellStyle name="20% - Accent6 6 2 4" xfId="21072" xr:uid="{9C80884E-B80B-4181-9C40-5B505D513E7B}"/>
    <cellStyle name="20% - Accent6 6 3" xfId="5371" xr:uid="{00000000-0005-0000-0000-0000B5030000}"/>
    <cellStyle name="20% - Accent6 6 3 2" xfId="14697" xr:uid="{18B3216D-1917-41CA-8500-464AC8F60B65}"/>
    <cellStyle name="20% - Accent6 6 3 3" xfId="23144" xr:uid="{68416100-43E2-4664-94E9-E6C19757B6F4}"/>
    <cellStyle name="20% - Accent6 6 4" xfId="10480" xr:uid="{C990BE01-FBFC-42A5-8F85-F92156D2C2EE}"/>
    <cellStyle name="20% - Accent6 6 5" xfId="18927" xr:uid="{1F81A14D-BF76-42E6-93E0-1EAEB2A77361}"/>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0BFF467D-3EFB-44DA-8872-29903D19AAF2}"/>
    <cellStyle name="20% - Accent6 7 2 2 3" xfId="25702" xr:uid="{AF831699-E50C-4540-AD1A-DE2E4E5A83D4}"/>
    <cellStyle name="20% - Accent6 7 2 3" xfId="13038" xr:uid="{35D656F0-C094-4DBC-8E87-66CDA474605E}"/>
    <cellStyle name="20% - Accent6 7 2 4" xfId="21485" xr:uid="{06AFA406-5551-440F-A7CD-DA31FF3D948B}"/>
    <cellStyle name="20% - Accent6 7 3" xfId="5784" xr:uid="{00000000-0005-0000-0000-0000B9030000}"/>
    <cellStyle name="20% - Accent6 7 3 2" xfId="15110" xr:uid="{E27149FD-C700-459D-8918-5622E29AA32F}"/>
    <cellStyle name="20% - Accent6 7 3 3" xfId="23557" xr:uid="{F24403BC-CF09-4BB6-9C94-1BC92EE9E032}"/>
    <cellStyle name="20% - Accent6 7 4" xfId="10893" xr:uid="{E727C253-2672-46BC-82EF-2A75A489D414}"/>
    <cellStyle name="20% - Accent6 7 5" xfId="19340" xr:uid="{AFB37862-5B9C-42FE-9FB8-E1BFB084EEE5}"/>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1B20C9C1-0438-4F67-829F-547AB2F787E5}"/>
    <cellStyle name="20% - Accent6 8 2 2 3" xfId="26115" xr:uid="{913D09CA-B07C-4CAE-9FC2-400D3FCF1C91}"/>
    <cellStyle name="20% - Accent6 8 2 3" xfId="13451" xr:uid="{A6D5EB14-6EE8-4401-A183-E16478737CBF}"/>
    <cellStyle name="20% - Accent6 8 2 4" xfId="21898" xr:uid="{5A6FA439-2AD3-4E06-9AD6-58A79131AD39}"/>
    <cellStyle name="20% - Accent6 8 3" xfId="6197" xr:uid="{00000000-0005-0000-0000-0000BD030000}"/>
    <cellStyle name="20% - Accent6 8 3 2" xfId="15523" xr:uid="{7B9870CA-D4FD-4538-AB6E-AF07A2311B67}"/>
    <cellStyle name="20% - Accent6 8 3 3" xfId="23970" xr:uid="{12A2FC93-601C-47D3-B02C-3965897DAAAE}"/>
    <cellStyle name="20% - Accent6 8 4" xfId="11306" xr:uid="{389CF678-92AE-4BB3-B1B4-F15EF99C3FB2}"/>
    <cellStyle name="20% - Accent6 8 5" xfId="19753" xr:uid="{2CE9CAF4-098A-40F6-B597-02E973AD8DD3}"/>
    <cellStyle name="20% - Accent6 9" xfId="2304" xr:uid="{00000000-0005-0000-0000-0000BE030000}"/>
    <cellStyle name="20% - Accent6 9 2" xfId="6610" xr:uid="{00000000-0005-0000-0000-0000BF030000}"/>
    <cellStyle name="20% - Accent6 9 2 2" xfId="15936" xr:uid="{1A392E7D-D7B8-41E1-9D51-208070AC3F41}"/>
    <cellStyle name="20% - Accent6 9 2 3" xfId="24383" xr:uid="{AD463F5F-53D5-4D92-90BF-854B78ACC479}"/>
    <cellStyle name="20% - Accent6 9 3" xfId="11719" xr:uid="{15F3936F-DC6B-4AC8-86B2-D8E7EFC92E78}"/>
    <cellStyle name="20% - Accent6 9 4" xfId="20166" xr:uid="{30E146A8-035E-4358-8363-B315DC816103}"/>
    <cellStyle name="40% - Accent1" xfId="49" builtinId="31" customBuiltin="1"/>
    <cellStyle name="40% - Accent1 10" xfId="4552" xr:uid="{00000000-0005-0000-0000-0000C1030000}"/>
    <cellStyle name="40% - Accent1 10 2" xfId="13878" xr:uid="{0E3A941F-77E7-4C05-A83A-5EF934D98840}"/>
    <cellStyle name="40% - Accent1 10 3" xfId="22325" xr:uid="{A603D621-8CCD-4013-944E-F42871AB6C77}"/>
    <cellStyle name="40% - Accent1 11" xfId="8759" xr:uid="{E0AA4078-00FF-4C00-81ED-1F048AC6C533}"/>
    <cellStyle name="40% - Accent1 12" xfId="9661" xr:uid="{9630A42A-8C9A-4558-956A-5A11B126EA8E}"/>
    <cellStyle name="40% - Accent1 13" xfId="18108" xr:uid="{C85A9521-0607-481C-99BA-86C96F33644E}"/>
    <cellStyle name="40% - Accent1 2" xfId="50" xr:uid="{00000000-0005-0000-0000-0000C2030000}"/>
    <cellStyle name="40% - Accent1 2 10" xfId="8798" xr:uid="{82026451-631C-40CA-BC49-BE5DA2EA921A}"/>
    <cellStyle name="40% - Accent1 2 11" xfId="9662" xr:uid="{0036F6E1-8A8E-49F6-AE86-7B4185CE42B3}"/>
    <cellStyle name="40% - Accent1 2 12" xfId="18109" xr:uid="{7707BAD8-A851-45BE-B271-638851AA20D6}"/>
    <cellStyle name="40% - Accent1 2 2" xfId="51" xr:uid="{00000000-0005-0000-0000-0000C3030000}"/>
    <cellStyle name="40% - Accent1 2 2 10" xfId="9663" xr:uid="{E710CE9E-472D-44CF-91A2-6E3894A3D9F7}"/>
    <cellStyle name="40% - Accent1 2 2 11" xfId="18110" xr:uid="{C0ED59F9-C2E6-4E96-BCBB-1887C8784C90}"/>
    <cellStyle name="40% - Accent1 2 2 2" xfId="52" xr:uid="{00000000-0005-0000-0000-0000C4030000}"/>
    <cellStyle name="40% - Accent1 2 2 2 10" xfId="18111" xr:uid="{071CC0C6-DA34-48A5-9646-B95665FD0F78}"/>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C7C032B7-37A5-45EE-AE7E-06594BA5C0DB}"/>
    <cellStyle name="40% - Accent1 2 2 2 2 2 2 3" xfId="24887" xr:uid="{75BDB3F1-7083-4E69-A50A-FF9668D01902}"/>
    <cellStyle name="40% - Accent1 2 2 2 2 2 3" xfId="12223" xr:uid="{813767BC-5F51-47C4-9C38-CD1473F6735E}"/>
    <cellStyle name="40% - Accent1 2 2 2 2 2 4" xfId="20670" xr:uid="{2C650954-0CEB-408B-93FD-1662A205B2A3}"/>
    <cellStyle name="40% - Accent1 2 2 2 2 3" xfId="4969" xr:uid="{00000000-0005-0000-0000-0000C8030000}"/>
    <cellStyle name="40% - Accent1 2 2 2 2 3 2" xfId="14295" xr:uid="{A8F50FB9-5CBB-4681-B296-ADA8FAAE00F5}"/>
    <cellStyle name="40% - Accent1 2 2 2 2 3 3" xfId="22742" xr:uid="{F003BB01-AD72-4BD5-A373-521E3968EDFA}"/>
    <cellStyle name="40% - Accent1 2 2 2 2 4" xfId="9533" xr:uid="{757B5AC4-115E-4B90-B4EA-505C31F9B178}"/>
    <cellStyle name="40% - Accent1 2 2 2 2 5" xfId="10078" xr:uid="{936A22CF-9A3F-4DFF-B076-38602D81D59E}"/>
    <cellStyle name="40% - Accent1 2 2 2 2 6" xfId="18525" xr:uid="{D97A35E3-37CB-4453-87FE-FF81E389E555}"/>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44E3C3D3-BEDC-475B-B443-72AE4640D44E}"/>
    <cellStyle name="40% - Accent1 2 2 2 3 2 2 3" xfId="25300" xr:uid="{C6D0D097-8DC0-4B44-9D82-6E1024957B6A}"/>
    <cellStyle name="40% - Accent1 2 2 2 3 2 3" xfId="12636" xr:uid="{236192C8-4DC6-4A98-9C98-919E10118208}"/>
    <cellStyle name="40% - Accent1 2 2 2 3 2 4" xfId="21083" xr:uid="{504757DC-92F3-4ED2-ADD8-6E60126AA9EC}"/>
    <cellStyle name="40% - Accent1 2 2 2 3 3" xfId="5382" xr:uid="{00000000-0005-0000-0000-0000CC030000}"/>
    <cellStyle name="40% - Accent1 2 2 2 3 3 2" xfId="14708" xr:uid="{FEB9FD08-4CCF-4CA9-903D-0499285E9FD3}"/>
    <cellStyle name="40% - Accent1 2 2 2 3 3 3" xfId="23155" xr:uid="{7E0614ED-A110-46E1-B18C-CF4FC9D6D16C}"/>
    <cellStyle name="40% - Accent1 2 2 2 3 4" xfId="10491" xr:uid="{6308F69D-F8E7-4B86-AD2B-41D2D7C45592}"/>
    <cellStyle name="40% - Accent1 2 2 2 3 5" xfId="18938" xr:uid="{03A24EFF-CA05-4ABF-AC4E-0AEC61B5A6D6}"/>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639F7631-CA20-4D37-A0EA-35D7551EE457}"/>
    <cellStyle name="40% - Accent1 2 2 2 4 2 2 3" xfId="25713" xr:uid="{1ACA585A-BD2B-45BD-A452-55B84F866E95}"/>
    <cellStyle name="40% - Accent1 2 2 2 4 2 3" xfId="13049" xr:uid="{5C661D4B-0B1E-4E82-B73D-A29360732262}"/>
    <cellStyle name="40% - Accent1 2 2 2 4 2 4" xfId="21496" xr:uid="{8E3B4589-5EAF-4D09-83A1-810A44214441}"/>
    <cellStyle name="40% - Accent1 2 2 2 4 3" xfId="5795" xr:uid="{00000000-0005-0000-0000-0000D0030000}"/>
    <cellStyle name="40% - Accent1 2 2 2 4 3 2" xfId="15121" xr:uid="{F2E35AC8-AB0B-488D-BA6B-CB4FEB508ECF}"/>
    <cellStyle name="40% - Accent1 2 2 2 4 3 3" xfId="23568" xr:uid="{5F9C2202-8D37-4C0D-9531-E2832407E3FB}"/>
    <cellStyle name="40% - Accent1 2 2 2 4 4" xfId="10904" xr:uid="{2B36ED4E-F035-40D1-A831-5B0F270D089E}"/>
    <cellStyle name="40% - Accent1 2 2 2 4 5" xfId="19351" xr:uid="{F4AC91CF-510B-46D3-BEAF-58112AB9B6DB}"/>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9F818956-5E4E-41B1-AE3B-A9F009BE83D9}"/>
    <cellStyle name="40% - Accent1 2 2 2 5 2 2 3" xfId="26126" xr:uid="{B6C1B920-119F-4F60-87E5-043751B3B1BC}"/>
    <cellStyle name="40% - Accent1 2 2 2 5 2 3" xfId="13462" xr:uid="{EE692DC4-F456-46D9-A290-1CCE2FD6BA73}"/>
    <cellStyle name="40% - Accent1 2 2 2 5 2 4" xfId="21909" xr:uid="{10F4EDBA-7EC7-486B-B237-80D633B50C3E}"/>
    <cellStyle name="40% - Accent1 2 2 2 5 3" xfId="6208" xr:uid="{00000000-0005-0000-0000-0000D4030000}"/>
    <cellStyle name="40% - Accent1 2 2 2 5 3 2" xfId="15534" xr:uid="{C5C1E98F-B55B-4CA6-AD5A-70981642512A}"/>
    <cellStyle name="40% - Accent1 2 2 2 5 3 3" xfId="23981" xr:uid="{1902C28F-FFE9-4B7F-8143-B92CB587EA15}"/>
    <cellStyle name="40% - Accent1 2 2 2 5 4" xfId="11317" xr:uid="{0FD9CB86-CF05-4AB8-98DD-DC490AFBEF54}"/>
    <cellStyle name="40% - Accent1 2 2 2 5 5" xfId="19764" xr:uid="{2730D458-C423-48CC-B52C-23CC5327178E}"/>
    <cellStyle name="40% - Accent1 2 2 2 6" xfId="2315" xr:uid="{00000000-0005-0000-0000-0000D5030000}"/>
    <cellStyle name="40% - Accent1 2 2 2 6 2" xfId="6621" xr:uid="{00000000-0005-0000-0000-0000D6030000}"/>
    <cellStyle name="40% - Accent1 2 2 2 6 2 2" xfId="15947" xr:uid="{2A73C6E8-F459-43E4-A0DF-0C358505089B}"/>
    <cellStyle name="40% - Accent1 2 2 2 6 2 3" xfId="24394" xr:uid="{27B148A2-79EC-4C9D-844B-155C93BF790E}"/>
    <cellStyle name="40% - Accent1 2 2 2 6 3" xfId="11730" xr:uid="{15BC76DE-075C-422F-B450-E3834448CF10}"/>
    <cellStyle name="40% - Accent1 2 2 2 6 4" xfId="20177" xr:uid="{5218EEBA-E865-4E2C-94BF-7CD626DB8FB1}"/>
    <cellStyle name="40% - Accent1 2 2 2 7" xfId="4555" xr:uid="{00000000-0005-0000-0000-0000D7030000}"/>
    <cellStyle name="40% - Accent1 2 2 2 7 2" xfId="13881" xr:uid="{FD5C845A-971E-4106-9598-D8CEADAD5088}"/>
    <cellStyle name="40% - Accent1 2 2 2 7 3" xfId="22328" xr:uid="{69874B4A-DFED-4B03-A666-7F82EDC6814C}"/>
    <cellStyle name="40% - Accent1 2 2 2 8" xfId="9108" xr:uid="{1189B5E8-DD3C-4F9A-ACD3-DB853C0AC60B}"/>
    <cellStyle name="40% - Accent1 2 2 2 9" xfId="9664" xr:uid="{E2CB15FB-6B87-4E51-8050-661C86672F2E}"/>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B06E3B01-9D75-4C13-AB27-2C2B47CFBC9E}"/>
    <cellStyle name="40% - Accent1 2 2 3 2 2 3" xfId="24886" xr:uid="{10CA7D89-BFAA-418F-848F-41621A67C81F}"/>
    <cellStyle name="40% - Accent1 2 2 3 2 3" xfId="12222" xr:uid="{ACB9E817-0DC2-48B8-8C11-2D922E973C51}"/>
    <cellStyle name="40% - Accent1 2 2 3 2 4" xfId="20669" xr:uid="{9F161C66-A8C7-4D7D-825F-96CCE2CFAD74}"/>
    <cellStyle name="40% - Accent1 2 2 3 3" xfId="4968" xr:uid="{00000000-0005-0000-0000-0000DB030000}"/>
    <cellStyle name="40% - Accent1 2 2 3 3 2" xfId="14294" xr:uid="{4054E811-CFD9-459F-93DA-604CDD64C3BE}"/>
    <cellStyle name="40% - Accent1 2 2 3 3 3" xfId="22741" xr:uid="{72EAA771-F428-408B-A114-90AC849A16AE}"/>
    <cellStyle name="40% - Accent1 2 2 3 4" xfId="9326" xr:uid="{6D693950-F4D3-4A82-8C01-49E2379281D4}"/>
    <cellStyle name="40% - Accent1 2 2 3 5" xfId="10077" xr:uid="{AD82B775-2EDB-4EC1-AB16-815EB0DD4CF5}"/>
    <cellStyle name="40% - Accent1 2 2 3 6" xfId="18524" xr:uid="{AA0F8D03-6B86-4C61-8AE2-1EEDFF625A96}"/>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A884DAF9-6228-4D50-9F5A-DEA7136BEE5F}"/>
    <cellStyle name="40% - Accent1 2 2 4 2 2 3" xfId="25299" xr:uid="{FEF1CE59-1D35-4BA8-B7E9-E412886874CE}"/>
    <cellStyle name="40% - Accent1 2 2 4 2 3" xfId="12635" xr:uid="{BE7514DE-89F4-4BD0-9C95-DD93C0FADAE0}"/>
    <cellStyle name="40% - Accent1 2 2 4 2 4" xfId="21082" xr:uid="{D5973758-1EF5-481E-B52E-C2D81D5B2FAB}"/>
    <cellStyle name="40% - Accent1 2 2 4 3" xfId="5381" xr:uid="{00000000-0005-0000-0000-0000DF030000}"/>
    <cellStyle name="40% - Accent1 2 2 4 3 2" xfId="14707" xr:uid="{10EF3DC0-A7C1-427A-A207-2CFBBE38B13D}"/>
    <cellStyle name="40% - Accent1 2 2 4 3 3" xfId="23154" xr:uid="{CEEBD902-A59D-4B5B-889A-6FBEE2B6426B}"/>
    <cellStyle name="40% - Accent1 2 2 4 4" xfId="10490" xr:uid="{F36FC5B1-F5F3-42F0-AEA9-CE734BC32E57}"/>
    <cellStyle name="40% - Accent1 2 2 4 5" xfId="18937" xr:uid="{65910F7D-6C4B-4517-A9F9-D464DCA79076}"/>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DDA97908-D731-4377-8ED0-C992B21904E8}"/>
    <cellStyle name="40% - Accent1 2 2 5 2 2 3" xfId="25712" xr:uid="{16FB1554-0337-49AC-8BA1-C6F246D59AA9}"/>
    <cellStyle name="40% - Accent1 2 2 5 2 3" xfId="13048" xr:uid="{F9F893E3-DAEA-4023-B436-0B554732CC40}"/>
    <cellStyle name="40% - Accent1 2 2 5 2 4" xfId="21495" xr:uid="{6B20FDF7-32A4-4AA1-BE7A-B52534433606}"/>
    <cellStyle name="40% - Accent1 2 2 5 3" xfId="5794" xr:uid="{00000000-0005-0000-0000-0000E3030000}"/>
    <cellStyle name="40% - Accent1 2 2 5 3 2" xfId="15120" xr:uid="{82311C64-BE72-4E60-846D-A08BD023D950}"/>
    <cellStyle name="40% - Accent1 2 2 5 3 3" xfId="23567" xr:uid="{CDC81EAA-AA93-4174-9D29-A4BD2A25D812}"/>
    <cellStyle name="40% - Accent1 2 2 5 4" xfId="10903" xr:uid="{66B71A20-69FE-446E-A44E-6A3D549C1DA9}"/>
    <cellStyle name="40% - Accent1 2 2 5 5" xfId="19350" xr:uid="{A575C8E4-11AF-4796-A2EA-4A4AA471767F}"/>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E07F6BA6-69B3-44F5-A793-378737D568A4}"/>
    <cellStyle name="40% - Accent1 2 2 6 2 2 3" xfId="26125" xr:uid="{CCDA95B4-622A-4E0B-88B5-B47D2044EDFC}"/>
    <cellStyle name="40% - Accent1 2 2 6 2 3" xfId="13461" xr:uid="{2C30F12D-DF7E-47E6-98AB-65950622B649}"/>
    <cellStyle name="40% - Accent1 2 2 6 2 4" xfId="21908" xr:uid="{79C0B0DB-614C-40CB-B5CB-14C46CC1F55B}"/>
    <cellStyle name="40% - Accent1 2 2 6 3" xfId="6207" xr:uid="{00000000-0005-0000-0000-0000E7030000}"/>
    <cellStyle name="40% - Accent1 2 2 6 3 2" xfId="15533" xr:uid="{F1D7B757-9E5F-4ED6-9307-654584EA6900}"/>
    <cellStyle name="40% - Accent1 2 2 6 3 3" xfId="23980" xr:uid="{336BA2FD-AC50-40A0-8F52-60F517AA4DD5}"/>
    <cellStyle name="40% - Accent1 2 2 6 4" xfId="11316" xr:uid="{1F1CD392-326A-4AC7-B3E2-4B02A7948CED}"/>
    <cellStyle name="40% - Accent1 2 2 6 5" xfId="19763" xr:uid="{E1F1299A-86AC-4344-919D-8B07F23B7C56}"/>
    <cellStyle name="40% - Accent1 2 2 7" xfId="2314" xr:uid="{00000000-0005-0000-0000-0000E8030000}"/>
    <cellStyle name="40% - Accent1 2 2 7 2" xfId="6620" xr:uid="{00000000-0005-0000-0000-0000E9030000}"/>
    <cellStyle name="40% - Accent1 2 2 7 2 2" xfId="15946" xr:uid="{96C06FD8-C34B-4ACC-B568-33A95357402A}"/>
    <cellStyle name="40% - Accent1 2 2 7 2 3" xfId="24393" xr:uid="{C37FDCB6-2580-434F-82CC-D8D21056F47B}"/>
    <cellStyle name="40% - Accent1 2 2 7 3" xfId="11729" xr:uid="{AC886A68-781A-406F-9215-E0F952538B00}"/>
    <cellStyle name="40% - Accent1 2 2 7 4" xfId="20176" xr:uid="{97D1AFE2-1E68-4607-97C5-0BA05EEB5AF5}"/>
    <cellStyle name="40% - Accent1 2 2 8" xfId="4554" xr:uid="{00000000-0005-0000-0000-0000EA030000}"/>
    <cellStyle name="40% - Accent1 2 2 8 2" xfId="13880" xr:uid="{AEF95DB0-C703-4C4D-BB67-E08D9E2DA353}"/>
    <cellStyle name="40% - Accent1 2 2 8 3" xfId="22327" xr:uid="{6A4337AE-6BE6-4140-98BF-E7EA1784FEBC}"/>
    <cellStyle name="40% - Accent1 2 2 9" xfId="8901" xr:uid="{10130317-AF31-4351-8201-FD8BD447EA3C}"/>
    <cellStyle name="40% - Accent1 2 3" xfId="53" xr:uid="{00000000-0005-0000-0000-0000EB030000}"/>
    <cellStyle name="40% - Accent1 2 3 10" xfId="18112" xr:uid="{06FC1F09-551A-4A6F-AFCA-E3A00B0640B7}"/>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7FC1A937-D47D-4A92-894C-4F231912F214}"/>
    <cellStyle name="40% - Accent1 2 3 2 2 2 3" xfId="24888" xr:uid="{72464196-64F8-4BCF-A8E0-40C422654858}"/>
    <cellStyle name="40% - Accent1 2 3 2 2 3" xfId="12224" xr:uid="{BCD74447-9C99-494B-BD5F-E8467EAA7A28}"/>
    <cellStyle name="40% - Accent1 2 3 2 2 4" xfId="20671" xr:uid="{1B472F6C-0096-4BC9-9A8F-4D385D6F7AD3}"/>
    <cellStyle name="40% - Accent1 2 3 2 3" xfId="4970" xr:uid="{00000000-0005-0000-0000-0000EF030000}"/>
    <cellStyle name="40% - Accent1 2 3 2 3 2" xfId="14296" xr:uid="{F66602C4-5839-4F78-B5C6-58ABCCD74872}"/>
    <cellStyle name="40% - Accent1 2 3 2 3 3" xfId="22743" xr:uid="{D9785803-7752-4037-BD03-8660D97F2D0E}"/>
    <cellStyle name="40% - Accent1 2 3 2 4" xfId="9430" xr:uid="{C79D1FB2-141C-4301-8F37-B3B9643C0550}"/>
    <cellStyle name="40% - Accent1 2 3 2 5" xfId="10079" xr:uid="{548A0872-F3AB-43EF-9463-E43691A120FB}"/>
    <cellStyle name="40% - Accent1 2 3 2 6" xfId="18526" xr:uid="{341933A4-26F0-4E2E-BC61-3A94E45BAB14}"/>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70374E77-5A04-4752-855C-B00C60E264C7}"/>
    <cellStyle name="40% - Accent1 2 3 3 2 2 3" xfId="25301" xr:uid="{E88BE60E-C8FF-4064-95DE-DF67350450D0}"/>
    <cellStyle name="40% - Accent1 2 3 3 2 3" xfId="12637" xr:uid="{201A0B34-38E7-4B69-9BDC-D36E79101614}"/>
    <cellStyle name="40% - Accent1 2 3 3 2 4" xfId="21084" xr:uid="{F1348ABA-A4CE-4A36-9164-198F0022676F}"/>
    <cellStyle name="40% - Accent1 2 3 3 3" xfId="5383" xr:uid="{00000000-0005-0000-0000-0000F3030000}"/>
    <cellStyle name="40% - Accent1 2 3 3 3 2" xfId="14709" xr:uid="{BA98FF83-FDD0-47A6-9DE0-8AA5DC2482B7}"/>
    <cellStyle name="40% - Accent1 2 3 3 3 3" xfId="23156" xr:uid="{FAE51196-0483-416E-8733-66CCFC6592FA}"/>
    <cellStyle name="40% - Accent1 2 3 3 4" xfId="10492" xr:uid="{794E0BFF-13CE-4FAC-81AD-C38992AF7DD0}"/>
    <cellStyle name="40% - Accent1 2 3 3 5" xfId="18939" xr:uid="{E16CDED9-DCF7-452F-B413-3420806B9806}"/>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7D1DFA96-4231-4391-AC7E-38F1D2ADD77C}"/>
    <cellStyle name="40% - Accent1 2 3 4 2 2 3" xfId="25714" xr:uid="{6CB3395F-DB6F-476F-9EDC-D4CD63A2A221}"/>
    <cellStyle name="40% - Accent1 2 3 4 2 3" xfId="13050" xr:uid="{FEDBF87E-EF22-4D25-B0E0-80CE666EDB2F}"/>
    <cellStyle name="40% - Accent1 2 3 4 2 4" xfId="21497" xr:uid="{D82F16EF-3818-42FF-818C-CC4F161BEB90}"/>
    <cellStyle name="40% - Accent1 2 3 4 3" xfId="5796" xr:uid="{00000000-0005-0000-0000-0000F7030000}"/>
    <cellStyle name="40% - Accent1 2 3 4 3 2" xfId="15122" xr:uid="{F31830D6-73B2-4510-B742-D342DEFCF9BC}"/>
    <cellStyle name="40% - Accent1 2 3 4 3 3" xfId="23569" xr:uid="{E7C26B13-4753-4B19-97A3-91F225711A7D}"/>
    <cellStyle name="40% - Accent1 2 3 4 4" xfId="10905" xr:uid="{99E8FB74-D7E4-4D58-AD42-BF0FE7CB1D21}"/>
    <cellStyle name="40% - Accent1 2 3 4 5" xfId="19352" xr:uid="{6DC519C7-4AF6-4CCF-84FF-B120DBF0A188}"/>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6AB91C94-C5B2-4002-AFA5-0C1DDA6DE28F}"/>
    <cellStyle name="40% - Accent1 2 3 5 2 2 3" xfId="26127" xr:uid="{A4FA576C-80EB-4345-9AC3-C1F664C4C93E}"/>
    <cellStyle name="40% - Accent1 2 3 5 2 3" xfId="13463" xr:uid="{2F9D03C4-EFB1-4164-A5CB-32D56037BF5B}"/>
    <cellStyle name="40% - Accent1 2 3 5 2 4" xfId="21910" xr:uid="{BF7F59E7-56DD-4FA4-9994-F46CE66EC3D3}"/>
    <cellStyle name="40% - Accent1 2 3 5 3" xfId="6209" xr:uid="{00000000-0005-0000-0000-0000FB030000}"/>
    <cellStyle name="40% - Accent1 2 3 5 3 2" xfId="15535" xr:uid="{42DAC419-D497-45E3-A6B7-17FAD183B3D9}"/>
    <cellStyle name="40% - Accent1 2 3 5 3 3" xfId="23982" xr:uid="{F33FA162-8BF7-4AEE-A8FB-BC97DFB1DA8D}"/>
    <cellStyle name="40% - Accent1 2 3 5 4" xfId="11318" xr:uid="{9B5E7B8D-77BE-4BC1-97D3-A3364884A007}"/>
    <cellStyle name="40% - Accent1 2 3 5 5" xfId="19765" xr:uid="{4DAEF71A-3A77-4DF9-B8FE-D83C47BF3F0A}"/>
    <cellStyle name="40% - Accent1 2 3 6" xfId="2316" xr:uid="{00000000-0005-0000-0000-0000FC030000}"/>
    <cellStyle name="40% - Accent1 2 3 6 2" xfId="6622" xr:uid="{00000000-0005-0000-0000-0000FD030000}"/>
    <cellStyle name="40% - Accent1 2 3 6 2 2" xfId="15948" xr:uid="{6E920663-3E34-4450-9AC6-6F5EEAE3CCD7}"/>
    <cellStyle name="40% - Accent1 2 3 6 2 3" xfId="24395" xr:uid="{727D0EC2-F1A0-44A8-93E8-B54AF874ABFB}"/>
    <cellStyle name="40% - Accent1 2 3 6 3" xfId="11731" xr:uid="{31B86AEB-D77B-4B7E-B8B3-4727AB2950E1}"/>
    <cellStyle name="40% - Accent1 2 3 6 4" xfId="20178" xr:uid="{FA0EFA27-FB1F-42C4-946C-BBDE5FE9EECA}"/>
    <cellStyle name="40% - Accent1 2 3 7" xfId="4556" xr:uid="{00000000-0005-0000-0000-0000FE030000}"/>
    <cellStyle name="40% - Accent1 2 3 7 2" xfId="13882" xr:uid="{4798F0BE-7F4D-4654-9639-4E723817A95A}"/>
    <cellStyle name="40% - Accent1 2 3 7 3" xfId="22329" xr:uid="{4B561338-FA12-43F9-809F-34EA23904AA4}"/>
    <cellStyle name="40% - Accent1 2 3 8" xfId="9005" xr:uid="{83AF69B9-664F-4E19-B721-7989C2FEBC0C}"/>
    <cellStyle name="40% - Accent1 2 3 9" xfId="9665" xr:uid="{0CCEDD0F-B799-43E9-A09A-145346420EE4}"/>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A2ADBF6E-FB3E-4B44-96E3-8377ECB20A99}"/>
    <cellStyle name="40% - Accent1 2 4 2 2 3" xfId="24885" xr:uid="{B18DEF51-D228-4E3D-928C-F1F73980E4D6}"/>
    <cellStyle name="40% - Accent1 2 4 2 3" xfId="12221" xr:uid="{1E0E02EE-34F4-4263-887B-F8374500B799}"/>
    <cellStyle name="40% - Accent1 2 4 2 4" xfId="20668" xr:uid="{487A854D-E269-47F7-A1F5-14EBF4A6C114}"/>
    <cellStyle name="40% - Accent1 2 4 3" xfId="4967" xr:uid="{00000000-0005-0000-0000-000002040000}"/>
    <cellStyle name="40% - Accent1 2 4 3 2" xfId="14293" xr:uid="{BA5D085C-DFCA-458A-8111-D8868B8D00FF}"/>
    <cellStyle name="40% - Accent1 2 4 3 3" xfId="22740" xr:uid="{ACA8B1FB-66FE-48B5-B594-20B0C4CC8E49}"/>
    <cellStyle name="40% - Accent1 2 4 4" xfId="9222" xr:uid="{A6B83122-AC98-4E58-AA4D-EC5ECC38FC6B}"/>
    <cellStyle name="40% - Accent1 2 4 5" xfId="10076" xr:uid="{C830FDB8-A12A-4BE6-8AC6-D7EE34EEA0B3}"/>
    <cellStyle name="40% - Accent1 2 4 6" xfId="18523" xr:uid="{0A4913AF-B6A3-4371-9494-27B46C0D8DB6}"/>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53EE9C81-86F8-4A44-9738-341097445C0C}"/>
    <cellStyle name="40% - Accent1 2 5 2 2 3" xfId="25298" xr:uid="{4CBE7F83-C9BB-401A-935D-1B3CB095BB71}"/>
    <cellStyle name="40% - Accent1 2 5 2 3" xfId="12634" xr:uid="{6C0CED9B-F36C-4404-9E94-ABE1F61510D5}"/>
    <cellStyle name="40% - Accent1 2 5 2 4" xfId="21081" xr:uid="{210B3B8A-BA11-4545-BCA6-EFD2E68CBBAF}"/>
    <cellStyle name="40% - Accent1 2 5 3" xfId="5380" xr:uid="{00000000-0005-0000-0000-000006040000}"/>
    <cellStyle name="40% - Accent1 2 5 3 2" xfId="14706" xr:uid="{79F33B4C-A014-411B-9EED-8C11B2E4801E}"/>
    <cellStyle name="40% - Accent1 2 5 3 3" xfId="23153" xr:uid="{3D8ADEBF-E1B5-464B-B6F1-2D16AE32B18C}"/>
    <cellStyle name="40% - Accent1 2 5 4" xfId="10489" xr:uid="{7A00ADDF-ADA2-48CD-8B82-59666ADE14DE}"/>
    <cellStyle name="40% - Accent1 2 5 5" xfId="18936" xr:uid="{B4557F34-7457-47F8-B69E-27823AF8E5BA}"/>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E77D5752-A78D-4880-A7BB-7C33CF07E844}"/>
    <cellStyle name="40% - Accent1 2 6 2 2 3" xfId="25711" xr:uid="{52AEE589-9141-4528-8126-FE966379E6A1}"/>
    <cellStyle name="40% - Accent1 2 6 2 3" xfId="13047" xr:uid="{9C8D33F7-9D7A-45A8-A567-71ECE047DBB3}"/>
    <cellStyle name="40% - Accent1 2 6 2 4" xfId="21494" xr:uid="{8F2562B7-7DB2-4A50-B040-1169A8CEEBB4}"/>
    <cellStyle name="40% - Accent1 2 6 3" xfId="5793" xr:uid="{00000000-0005-0000-0000-00000A040000}"/>
    <cellStyle name="40% - Accent1 2 6 3 2" xfId="15119" xr:uid="{3C60590C-FE9A-4931-BAF8-1028492CDB99}"/>
    <cellStyle name="40% - Accent1 2 6 3 3" xfId="23566" xr:uid="{42C52ECE-7B7C-47C0-820D-740FE7D82CDD}"/>
    <cellStyle name="40% - Accent1 2 6 4" xfId="10902" xr:uid="{0B1314B7-3A70-40E2-8CE8-E5376E04DC28}"/>
    <cellStyle name="40% - Accent1 2 6 5" xfId="19349" xr:uid="{FF4A59C3-2B92-4324-86AC-AA81DB7892BB}"/>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25ABA30F-FEB5-4F6B-A2D4-8FA785FC20E1}"/>
    <cellStyle name="40% - Accent1 2 7 2 2 3" xfId="26124" xr:uid="{BC4CE077-92B9-4B0B-B017-58C4D40441C4}"/>
    <cellStyle name="40% - Accent1 2 7 2 3" xfId="13460" xr:uid="{369A3490-E373-425C-82AC-7E5C2204CC59}"/>
    <cellStyle name="40% - Accent1 2 7 2 4" xfId="21907" xr:uid="{D56B8EC7-DCFC-435D-AF8C-299AB5021785}"/>
    <cellStyle name="40% - Accent1 2 7 3" xfId="6206" xr:uid="{00000000-0005-0000-0000-00000E040000}"/>
    <cellStyle name="40% - Accent1 2 7 3 2" xfId="15532" xr:uid="{DDD5B82F-0DFA-41E0-9041-04FAAE6C252B}"/>
    <cellStyle name="40% - Accent1 2 7 3 3" xfId="23979" xr:uid="{FAB2C323-3916-4E74-9158-279B6465E367}"/>
    <cellStyle name="40% - Accent1 2 7 4" xfId="11315" xr:uid="{6D8CFF73-087C-40F0-AA01-1CC126B0FAFF}"/>
    <cellStyle name="40% - Accent1 2 7 5" xfId="19762" xr:uid="{075C8FDE-644D-4CB1-B7B7-25642B6088DA}"/>
    <cellStyle name="40% - Accent1 2 8" xfId="2313" xr:uid="{00000000-0005-0000-0000-00000F040000}"/>
    <cellStyle name="40% - Accent1 2 8 2" xfId="6619" xr:uid="{00000000-0005-0000-0000-000010040000}"/>
    <cellStyle name="40% - Accent1 2 8 2 2" xfId="15945" xr:uid="{5CFEE0F7-7772-4B7C-BF19-02D95D320193}"/>
    <cellStyle name="40% - Accent1 2 8 2 3" xfId="24392" xr:uid="{A0E43FFF-1726-49E3-8C7A-49E121FE44DD}"/>
    <cellStyle name="40% - Accent1 2 8 3" xfId="11728" xr:uid="{94D231F6-A1A0-47E8-9176-7DDD2DB869FB}"/>
    <cellStyle name="40% - Accent1 2 8 4" xfId="20175" xr:uid="{A3620CD2-C587-48E3-B0E0-522E83B4AB0B}"/>
    <cellStyle name="40% - Accent1 2 9" xfId="4553" xr:uid="{00000000-0005-0000-0000-000011040000}"/>
    <cellStyle name="40% - Accent1 2 9 2" xfId="13879" xr:uid="{735BB461-AF62-4CE6-AAAD-BA8CFC66B934}"/>
    <cellStyle name="40% - Accent1 2 9 3" xfId="22326" xr:uid="{E72D9002-4B69-49D1-9269-0FCE2F4C517D}"/>
    <cellStyle name="40% - Accent1 3" xfId="54" xr:uid="{00000000-0005-0000-0000-000012040000}"/>
    <cellStyle name="40% - Accent1 3 10" xfId="9666" xr:uid="{29C6B5E7-1F11-45D3-B649-64BD034EAC04}"/>
    <cellStyle name="40% - Accent1 3 11" xfId="18113" xr:uid="{7CDCAADC-1D9D-49B2-90F5-1DC69D57A16A}"/>
    <cellStyle name="40% - Accent1 3 2" xfId="55" xr:uid="{00000000-0005-0000-0000-000013040000}"/>
    <cellStyle name="40% - Accent1 3 2 10" xfId="18114" xr:uid="{0FDCADD5-4F96-40E1-8CED-BF2324116E46}"/>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ACEB81F9-1ECC-44B9-A2C5-0C8022FFCFAE}"/>
    <cellStyle name="40% - Accent1 3 2 2 2 2 3" xfId="24890" xr:uid="{10F4C181-DE0A-46AC-9B7F-912DBAAFDF28}"/>
    <cellStyle name="40% - Accent1 3 2 2 2 3" xfId="12226" xr:uid="{715535F1-871A-4DBD-A469-78E0729905F8}"/>
    <cellStyle name="40% - Accent1 3 2 2 2 4" xfId="20673" xr:uid="{864518B3-7230-4BA9-8A7D-C9781C999FF1}"/>
    <cellStyle name="40% - Accent1 3 2 2 3" xfId="4972" xr:uid="{00000000-0005-0000-0000-000017040000}"/>
    <cellStyle name="40% - Accent1 3 2 2 3 2" xfId="14298" xr:uid="{AB6ACE2E-925B-4BAF-9447-93AC359F088D}"/>
    <cellStyle name="40% - Accent1 3 2 2 3 3" xfId="22745" xr:uid="{3B6D13B3-C6B8-4CC5-8AA3-A3CC2D3B84DF}"/>
    <cellStyle name="40% - Accent1 3 2 2 4" xfId="9494" xr:uid="{49092FA9-F337-44E8-98C8-15711B1C1558}"/>
    <cellStyle name="40% - Accent1 3 2 2 5" xfId="10081" xr:uid="{C199A33F-B716-4B87-AE60-FA01BEEAF9C9}"/>
    <cellStyle name="40% - Accent1 3 2 2 6" xfId="18528" xr:uid="{37880519-045F-4252-A35D-4A2C0C0774B4}"/>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3B097681-C6D6-4084-9DC7-A650CD1D0F56}"/>
    <cellStyle name="40% - Accent1 3 2 3 2 2 3" xfId="25303" xr:uid="{148410BF-637D-47B9-B002-50A2690C926D}"/>
    <cellStyle name="40% - Accent1 3 2 3 2 3" xfId="12639" xr:uid="{AD19E1C6-F5D0-4725-B875-8639D81A49B3}"/>
    <cellStyle name="40% - Accent1 3 2 3 2 4" xfId="21086" xr:uid="{40F2515F-DEED-49B4-84FD-030FCBF5024C}"/>
    <cellStyle name="40% - Accent1 3 2 3 3" xfId="5385" xr:uid="{00000000-0005-0000-0000-00001B040000}"/>
    <cellStyle name="40% - Accent1 3 2 3 3 2" xfId="14711" xr:uid="{D40EF661-AB53-4302-AEA5-430CAE0F5425}"/>
    <cellStyle name="40% - Accent1 3 2 3 3 3" xfId="23158" xr:uid="{C74412F3-FC73-4500-9655-7ACFF70D7655}"/>
    <cellStyle name="40% - Accent1 3 2 3 4" xfId="10494" xr:uid="{FF5EA6E1-DC95-4A1F-94B0-5FE926E45520}"/>
    <cellStyle name="40% - Accent1 3 2 3 5" xfId="18941" xr:uid="{37768F47-9AA4-4AFE-B424-E82A781C1F1D}"/>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D23BFDAE-1A59-424C-A69B-7B174B3EAC2D}"/>
    <cellStyle name="40% - Accent1 3 2 4 2 2 3" xfId="25716" xr:uid="{34808398-E136-4541-BD6A-3C2CEFCEEBB8}"/>
    <cellStyle name="40% - Accent1 3 2 4 2 3" xfId="13052" xr:uid="{1E142593-75A6-4701-B127-34E0FA8557FF}"/>
    <cellStyle name="40% - Accent1 3 2 4 2 4" xfId="21499" xr:uid="{55F549B9-D41C-43BB-91BC-98067E6E9E0A}"/>
    <cellStyle name="40% - Accent1 3 2 4 3" xfId="5798" xr:uid="{00000000-0005-0000-0000-00001F040000}"/>
    <cellStyle name="40% - Accent1 3 2 4 3 2" xfId="15124" xr:uid="{E148EC04-490A-4930-B49B-EBB4EDF8AC9C}"/>
    <cellStyle name="40% - Accent1 3 2 4 3 3" xfId="23571" xr:uid="{8881A9B0-D868-42EB-AA3F-E802E7034AC6}"/>
    <cellStyle name="40% - Accent1 3 2 4 4" xfId="10907" xr:uid="{0140C620-A1D7-4D17-921D-89F147729F43}"/>
    <cellStyle name="40% - Accent1 3 2 4 5" xfId="19354" xr:uid="{92907B3E-2FE4-4504-A10E-833879D2726B}"/>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4C820075-B527-4734-BB4E-91C2621DD583}"/>
    <cellStyle name="40% - Accent1 3 2 5 2 2 3" xfId="26129" xr:uid="{8C539328-B2F4-4D2D-8057-B3185E297591}"/>
    <cellStyle name="40% - Accent1 3 2 5 2 3" xfId="13465" xr:uid="{970E41ED-6CF8-4BA8-88C1-4719616A8592}"/>
    <cellStyle name="40% - Accent1 3 2 5 2 4" xfId="21912" xr:uid="{46D0A2D5-22C9-4BAA-A4C8-2BD04A0CCA63}"/>
    <cellStyle name="40% - Accent1 3 2 5 3" xfId="6211" xr:uid="{00000000-0005-0000-0000-000023040000}"/>
    <cellStyle name="40% - Accent1 3 2 5 3 2" xfId="15537" xr:uid="{152177D9-2BE8-487B-8F1D-254F636B8584}"/>
    <cellStyle name="40% - Accent1 3 2 5 3 3" xfId="23984" xr:uid="{3910EFDA-DBF9-4007-A5EE-8818F91E7DBE}"/>
    <cellStyle name="40% - Accent1 3 2 5 4" xfId="11320" xr:uid="{40B19F4D-203C-4C76-AB97-FD856BE9E520}"/>
    <cellStyle name="40% - Accent1 3 2 5 5" xfId="19767" xr:uid="{D9636BCD-CCC8-442A-83AE-B53477E86F2B}"/>
    <cellStyle name="40% - Accent1 3 2 6" xfId="2318" xr:uid="{00000000-0005-0000-0000-000024040000}"/>
    <cellStyle name="40% - Accent1 3 2 6 2" xfId="6624" xr:uid="{00000000-0005-0000-0000-000025040000}"/>
    <cellStyle name="40% - Accent1 3 2 6 2 2" xfId="15950" xr:uid="{4D71423D-EA00-487F-ABA1-6194409312FE}"/>
    <cellStyle name="40% - Accent1 3 2 6 2 3" xfId="24397" xr:uid="{FA6CAC4F-1E5E-45DA-BF3D-737C1F018FF0}"/>
    <cellStyle name="40% - Accent1 3 2 6 3" xfId="11733" xr:uid="{E8ACF217-69A1-4AED-B1CD-4AAB13E0B469}"/>
    <cellStyle name="40% - Accent1 3 2 6 4" xfId="20180" xr:uid="{F42A60A2-FA57-4F5A-AE3A-B3A4FF1EDD5A}"/>
    <cellStyle name="40% - Accent1 3 2 7" xfId="4558" xr:uid="{00000000-0005-0000-0000-000026040000}"/>
    <cellStyle name="40% - Accent1 3 2 7 2" xfId="13884" xr:uid="{91E611F3-2594-44C2-9B31-9A03529C31FA}"/>
    <cellStyle name="40% - Accent1 3 2 7 3" xfId="22331" xr:uid="{9756BF0E-BD54-4542-A992-2625B4751D64}"/>
    <cellStyle name="40% - Accent1 3 2 8" xfId="9069" xr:uid="{F3D9FD63-8946-4492-B81A-42936E8B246D}"/>
    <cellStyle name="40% - Accent1 3 2 9" xfId="9667" xr:uid="{490BD2F1-1426-474B-91B1-2965F641A49E}"/>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82354E96-DE7E-429E-B4A2-DB30878D19F2}"/>
    <cellStyle name="40% - Accent1 3 3 2 2 3" xfId="24889" xr:uid="{B6AF75C6-B166-4A21-B013-987C9C99436E}"/>
    <cellStyle name="40% - Accent1 3 3 2 3" xfId="12225" xr:uid="{773A0FA5-1889-4562-A95A-4EA0FC5AB251}"/>
    <cellStyle name="40% - Accent1 3 3 2 4" xfId="20672" xr:uid="{36B1813F-2F40-4939-98CD-B9F864A688FA}"/>
    <cellStyle name="40% - Accent1 3 3 3" xfId="4971" xr:uid="{00000000-0005-0000-0000-00002A040000}"/>
    <cellStyle name="40% - Accent1 3 3 3 2" xfId="14297" xr:uid="{9F07FED7-FA8C-45D6-8E21-E099F3338942}"/>
    <cellStyle name="40% - Accent1 3 3 3 3" xfId="22744" xr:uid="{5F8C0E0B-5222-4526-A810-6D60DFB9C995}"/>
    <cellStyle name="40% - Accent1 3 3 4" xfId="9287" xr:uid="{8C21B573-3D31-49DA-ACD8-D3EC7CC3A858}"/>
    <cellStyle name="40% - Accent1 3 3 5" xfId="10080" xr:uid="{207A23BC-D626-4325-A7FE-BAFDE0C74C42}"/>
    <cellStyle name="40% - Accent1 3 3 6" xfId="18527" xr:uid="{472334EB-2C0F-409A-A3FE-91B271C711B6}"/>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FA963E43-C455-4818-9556-436B4168B6BC}"/>
    <cellStyle name="40% - Accent1 3 4 2 2 3" xfId="25302" xr:uid="{2011DBA6-DFC6-48A2-93BD-88E6EE2F0C42}"/>
    <cellStyle name="40% - Accent1 3 4 2 3" xfId="12638" xr:uid="{F555BF2D-51C6-4336-B3BF-247734C03E91}"/>
    <cellStyle name="40% - Accent1 3 4 2 4" xfId="21085" xr:uid="{9E97A3D3-D4A6-4841-B582-AB083CF9577D}"/>
    <cellStyle name="40% - Accent1 3 4 3" xfId="5384" xr:uid="{00000000-0005-0000-0000-00002E040000}"/>
    <cellStyle name="40% - Accent1 3 4 3 2" xfId="14710" xr:uid="{D390D52D-07C2-482C-978E-46BF74ED8129}"/>
    <cellStyle name="40% - Accent1 3 4 3 3" xfId="23157" xr:uid="{7621A597-0585-47FF-B20F-FAFAF4E83F2D}"/>
    <cellStyle name="40% - Accent1 3 4 4" xfId="10493" xr:uid="{4B8C6120-6ADD-469E-9809-C2D349560BC6}"/>
    <cellStyle name="40% - Accent1 3 4 5" xfId="18940" xr:uid="{86C07550-395D-4DA2-8204-EBB13E9AF17B}"/>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4B50AB71-2940-4E9D-B7B4-E1C6A020630A}"/>
    <cellStyle name="40% - Accent1 3 5 2 2 3" xfId="25715" xr:uid="{30FD6E9E-B40D-43F9-AB14-192E916CC17E}"/>
    <cellStyle name="40% - Accent1 3 5 2 3" xfId="13051" xr:uid="{10CA79E3-DB05-4560-AE48-1E556E30F395}"/>
    <cellStyle name="40% - Accent1 3 5 2 4" xfId="21498" xr:uid="{E37A319B-B2A1-44B7-86B5-8AC77D8C1D51}"/>
    <cellStyle name="40% - Accent1 3 5 3" xfId="5797" xr:uid="{00000000-0005-0000-0000-000032040000}"/>
    <cellStyle name="40% - Accent1 3 5 3 2" xfId="15123" xr:uid="{14E06DD7-131D-4BD0-BF35-7CEEAA04DB8B}"/>
    <cellStyle name="40% - Accent1 3 5 3 3" xfId="23570" xr:uid="{C6F7AE4B-5B07-442D-B194-59FAD6520CB9}"/>
    <cellStyle name="40% - Accent1 3 5 4" xfId="10906" xr:uid="{87AD63F4-EB1A-4085-97EB-D423DC0B2F22}"/>
    <cellStyle name="40% - Accent1 3 5 5" xfId="19353" xr:uid="{D6B9C817-FE47-49FD-87E2-84615CB3E32B}"/>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499EB6AB-CD32-41D2-A95D-831324732959}"/>
    <cellStyle name="40% - Accent1 3 6 2 2 3" xfId="26128" xr:uid="{A410B2B3-74FF-48C5-B7DB-A07A11246E8B}"/>
    <cellStyle name="40% - Accent1 3 6 2 3" xfId="13464" xr:uid="{5A712B6C-8B77-49B7-98D5-BC0261569D0A}"/>
    <cellStyle name="40% - Accent1 3 6 2 4" xfId="21911" xr:uid="{35DA8B9C-D69F-466A-9ACE-D458417B41E4}"/>
    <cellStyle name="40% - Accent1 3 6 3" xfId="6210" xr:uid="{00000000-0005-0000-0000-000036040000}"/>
    <cellStyle name="40% - Accent1 3 6 3 2" xfId="15536" xr:uid="{99027949-BB7F-4E61-97EB-66FA6657ECED}"/>
    <cellStyle name="40% - Accent1 3 6 3 3" xfId="23983" xr:uid="{74B6DD8A-4B4A-42DB-BC7E-3053E80B3BC9}"/>
    <cellStyle name="40% - Accent1 3 6 4" xfId="11319" xr:uid="{33EE9ED3-7A08-44BC-926E-4A29FB10D182}"/>
    <cellStyle name="40% - Accent1 3 6 5" xfId="19766" xr:uid="{65157AD3-C9F7-4E8F-B04D-FBBA725734E0}"/>
    <cellStyle name="40% - Accent1 3 7" xfId="2317" xr:uid="{00000000-0005-0000-0000-000037040000}"/>
    <cellStyle name="40% - Accent1 3 7 2" xfId="6623" xr:uid="{00000000-0005-0000-0000-000038040000}"/>
    <cellStyle name="40% - Accent1 3 7 2 2" xfId="15949" xr:uid="{08E86ADF-D395-4B29-8A35-6A6416DBD697}"/>
    <cellStyle name="40% - Accent1 3 7 2 3" xfId="24396" xr:uid="{C07CC30D-6828-4279-B6A6-60362F8A3D72}"/>
    <cellStyle name="40% - Accent1 3 7 3" xfId="11732" xr:uid="{E7ECD246-0097-4788-A96B-3A73B27B71E1}"/>
    <cellStyle name="40% - Accent1 3 7 4" xfId="20179" xr:uid="{2CD6882A-4B3A-4754-85A1-9FA4D64F5C54}"/>
    <cellStyle name="40% - Accent1 3 8" xfId="4557" xr:uid="{00000000-0005-0000-0000-000039040000}"/>
    <cellStyle name="40% - Accent1 3 8 2" xfId="13883" xr:uid="{42AEEBC2-F734-4B12-A57F-88D154DFD7DB}"/>
    <cellStyle name="40% - Accent1 3 8 3" xfId="22330" xr:uid="{FB74B416-5FDF-4A06-959E-72885132A6FB}"/>
    <cellStyle name="40% - Accent1 3 9" xfId="8862" xr:uid="{2CC30516-31CA-485E-88BE-FCC7F9756A95}"/>
    <cellStyle name="40% - Accent1 4" xfId="56" xr:uid="{00000000-0005-0000-0000-00003A040000}"/>
    <cellStyle name="40% - Accent1 4 10" xfId="18115" xr:uid="{DCFEAF38-17FF-46D9-88D8-0F7F2F8547D2}"/>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B24A18BB-EB9C-4543-BF43-C6345DEE7E67}"/>
    <cellStyle name="40% - Accent1 4 2 2 2 3" xfId="24891" xr:uid="{1706DD2F-F81B-4FBD-9E6D-1B9A1AC0ED0A}"/>
    <cellStyle name="40% - Accent1 4 2 2 3" xfId="12227" xr:uid="{7EE4F393-A416-4998-BE09-65A1A4A79214}"/>
    <cellStyle name="40% - Accent1 4 2 2 4" xfId="20674" xr:uid="{B9312FE2-EE40-4733-A2A0-53B2D676DED1}"/>
    <cellStyle name="40% - Accent1 4 2 3" xfId="4973" xr:uid="{00000000-0005-0000-0000-00003E040000}"/>
    <cellStyle name="40% - Accent1 4 2 3 2" xfId="14299" xr:uid="{90B4EBAA-C3C3-4613-B64F-976B63D91F70}"/>
    <cellStyle name="40% - Accent1 4 2 3 3" xfId="22746" xr:uid="{C5713EC4-098F-4D43-AC90-E9693645B9F4}"/>
    <cellStyle name="40% - Accent1 4 2 4" xfId="9373" xr:uid="{3BC949C7-8F86-44EA-9F10-CF277586B131}"/>
    <cellStyle name="40% - Accent1 4 2 5" xfId="10082" xr:uid="{1A248CC6-1A3B-47F3-9EA6-4374F0A62338}"/>
    <cellStyle name="40% - Accent1 4 2 6" xfId="18529" xr:uid="{2D59148F-B9D2-4F60-AF1F-F3A304044943}"/>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52D1338E-9877-4DA0-B019-403FD138341E}"/>
    <cellStyle name="40% - Accent1 4 3 2 2 3" xfId="25304" xr:uid="{8AD1185E-3A25-43B1-9CD2-8E660DE8059A}"/>
    <cellStyle name="40% - Accent1 4 3 2 3" xfId="12640" xr:uid="{ABC8A076-3A1F-4F20-A7E5-7BD086EBD6B0}"/>
    <cellStyle name="40% - Accent1 4 3 2 4" xfId="21087" xr:uid="{24107D35-1A95-4CFC-9855-AF1DF2143E21}"/>
    <cellStyle name="40% - Accent1 4 3 3" xfId="5386" xr:uid="{00000000-0005-0000-0000-000042040000}"/>
    <cellStyle name="40% - Accent1 4 3 3 2" xfId="14712" xr:uid="{F0F8F1D0-D45B-4192-B256-FAC80D528E12}"/>
    <cellStyle name="40% - Accent1 4 3 3 3" xfId="23159" xr:uid="{03F44C6E-D778-4F44-9FE2-CD24C2856AAE}"/>
    <cellStyle name="40% - Accent1 4 3 4" xfId="10495" xr:uid="{E56A41E1-35B4-4353-A9CA-F0B73C02AC20}"/>
    <cellStyle name="40% - Accent1 4 3 5" xfId="18942" xr:uid="{4BD01FE3-1E43-486E-8548-17B4C31851FF}"/>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5AAA679B-A02F-4CBE-B4A6-82D6116D6166}"/>
    <cellStyle name="40% - Accent1 4 4 2 2 3" xfId="25717" xr:uid="{EA5592ED-D1A2-46B3-B704-E59394DC614A}"/>
    <cellStyle name="40% - Accent1 4 4 2 3" xfId="13053" xr:uid="{FC803E89-EDD1-4A3E-B0D6-7A0F3A55DA22}"/>
    <cellStyle name="40% - Accent1 4 4 2 4" xfId="21500" xr:uid="{D3835A7F-A0B6-4C60-B88B-7E6A43BA38F3}"/>
    <cellStyle name="40% - Accent1 4 4 3" xfId="5799" xr:uid="{00000000-0005-0000-0000-000046040000}"/>
    <cellStyle name="40% - Accent1 4 4 3 2" xfId="15125" xr:uid="{AF5C198E-907D-423C-9174-19B913B53EAC}"/>
    <cellStyle name="40% - Accent1 4 4 3 3" xfId="23572" xr:uid="{5D88CB58-A24F-49D3-9420-8893AB5EF4EA}"/>
    <cellStyle name="40% - Accent1 4 4 4" xfId="10908" xr:uid="{79E7B50C-454C-4938-84AF-2F77AC8ED560}"/>
    <cellStyle name="40% - Accent1 4 4 5" xfId="19355" xr:uid="{1FB30CA8-23E8-4ECD-B064-775C904DA269}"/>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637CAEAB-8ABF-4C74-982D-DFC1CDAD85F4}"/>
    <cellStyle name="40% - Accent1 4 5 2 2 3" xfId="26130" xr:uid="{A38C17A6-8332-418E-9B75-9CD37411C681}"/>
    <cellStyle name="40% - Accent1 4 5 2 3" xfId="13466" xr:uid="{C4669AA8-F2DC-4FB7-A4B3-7857E78CD14E}"/>
    <cellStyle name="40% - Accent1 4 5 2 4" xfId="21913" xr:uid="{99A13B6E-5081-4D75-BC8A-2A281054B9F4}"/>
    <cellStyle name="40% - Accent1 4 5 3" xfId="6212" xr:uid="{00000000-0005-0000-0000-00004A040000}"/>
    <cellStyle name="40% - Accent1 4 5 3 2" xfId="15538" xr:uid="{74532092-DBA4-41DB-A03B-FBBA4C78007E}"/>
    <cellStyle name="40% - Accent1 4 5 3 3" xfId="23985" xr:uid="{745E1419-157E-4C3B-A238-6174813010E6}"/>
    <cellStyle name="40% - Accent1 4 5 4" xfId="11321" xr:uid="{6A55DC41-3C15-4837-ACA3-1C0CD8651664}"/>
    <cellStyle name="40% - Accent1 4 5 5" xfId="19768" xr:uid="{D7DA8A16-9FA5-4DC9-BB04-587DA20EE292}"/>
    <cellStyle name="40% - Accent1 4 6" xfId="2319" xr:uid="{00000000-0005-0000-0000-00004B040000}"/>
    <cellStyle name="40% - Accent1 4 6 2" xfId="6625" xr:uid="{00000000-0005-0000-0000-00004C040000}"/>
    <cellStyle name="40% - Accent1 4 6 2 2" xfId="15951" xr:uid="{E8D710EC-5696-46ED-B926-6AF2CBA9B75D}"/>
    <cellStyle name="40% - Accent1 4 6 2 3" xfId="24398" xr:uid="{ACB00850-1E16-4963-B2F0-FB84DC087766}"/>
    <cellStyle name="40% - Accent1 4 6 3" xfId="11734" xr:uid="{D0C3EECE-972F-444A-B5AE-BE841BEA804B}"/>
    <cellStyle name="40% - Accent1 4 6 4" xfId="20181" xr:uid="{6694B977-60FA-4CB0-8993-B7673B13B420}"/>
    <cellStyle name="40% - Accent1 4 7" xfId="4559" xr:uid="{00000000-0005-0000-0000-00004D040000}"/>
    <cellStyle name="40% - Accent1 4 7 2" xfId="13885" xr:uid="{F8D982D0-B007-417E-B008-217DFD956074}"/>
    <cellStyle name="40% - Accent1 4 7 3" xfId="22332" xr:uid="{AADD20EF-91B6-40B0-B532-F025CB927E7E}"/>
    <cellStyle name="40% - Accent1 4 8" xfId="8948" xr:uid="{7BCBB449-71B8-4468-A700-0125C7659C3D}"/>
    <cellStyle name="40% - Accent1 4 9" xfId="9668" xr:uid="{C1266A6F-E331-4117-96A1-7DFDD4051339}"/>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631D8E36-F78A-44FE-9B52-19A721BA5CF4}"/>
    <cellStyle name="40% - Accent1 5 2 2 3" xfId="24884" xr:uid="{3A2C1C30-3C83-452C-8342-76F3C0DE929C}"/>
    <cellStyle name="40% - Accent1 5 2 3" xfId="12220" xr:uid="{B716E787-58FD-4972-BF76-45CF312969CF}"/>
    <cellStyle name="40% - Accent1 5 2 4" xfId="20667" xr:uid="{D0571646-2144-495F-9900-FF3F334477CC}"/>
    <cellStyle name="40% - Accent1 5 3" xfId="4966" xr:uid="{00000000-0005-0000-0000-000051040000}"/>
    <cellStyle name="40% - Accent1 5 3 2" xfId="14292" xr:uid="{16F659B5-276C-4D05-BDE7-BF212EA376C6}"/>
    <cellStyle name="40% - Accent1 5 3 3" xfId="22739" xr:uid="{0806F0BF-B787-45C3-9099-589681CD97F0}"/>
    <cellStyle name="40% - Accent1 5 4" xfId="9181" xr:uid="{332DA761-F1AA-4FF3-9BBB-9ECEE19D2DFF}"/>
    <cellStyle name="40% - Accent1 5 5" xfId="10075" xr:uid="{F2AA0498-34AD-4147-B01A-43B51868D45E}"/>
    <cellStyle name="40% - Accent1 5 6" xfId="18522" xr:uid="{9EC7D5FF-CD07-4C71-B5E9-06113097591C}"/>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13758152-AD53-4D13-929C-06556FE27A9F}"/>
    <cellStyle name="40% - Accent1 6 2 2 3" xfId="25297" xr:uid="{5BD3D5AC-33CF-4513-9493-76E9F09D0FB1}"/>
    <cellStyle name="40% - Accent1 6 2 3" xfId="12633" xr:uid="{7E81B370-A787-4703-94AD-02F81015D6C8}"/>
    <cellStyle name="40% - Accent1 6 2 4" xfId="21080" xr:uid="{80CEBE0A-EFDA-4699-937D-E310F499BF24}"/>
    <cellStyle name="40% - Accent1 6 3" xfId="5379" xr:uid="{00000000-0005-0000-0000-000055040000}"/>
    <cellStyle name="40% - Accent1 6 3 2" xfId="14705" xr:uid="{F80F2C99-78FF-4542-9BDF-7E813CAC5709}"/>
    <cellStyle name="40% - Accent1 6 3 3" xfId="23152" xr:uid="{096E130E-1EAA-447D-A698-1F6BEB3E79B3}"/>
    <cellStyle name="40% - Accent1 6 4" xfId="10488" xr:uid="{F3A2C735-B567-4315-8834-EA51BCEC59D1}"/>
    <cellStyle name="40% - Accent1 6 5" xfId="18935" xr:uid="{B3E6F493-7C90-4BDE-8DA2-979D770688A8}"/>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7DCBD57D-0AA1-4B6E-A27E-69F33385194E}"/>
    <cellStyle name="40% - Accent1 7 2 2 3" xfId="25710" xr:uid="{89AA7D65-7D97-4BEB-8D94-76EDB829B015}"/>
    <cellStyle name="40% - Accent1 7 2 3" xfId="13046" xr:uid="{F1D56E6F-21BD-4AE6-B01B-4273CF069B47}"/>
    <cellStyle name="40% - Accent1 7 2 4" xfId="21493" xr:uid="{F6C67935-7E5B-4768-B451-1E81391BEC8E}"/>
    <cellStyle name="40% - Accent1 7 3" xfId="5792" xr:uid="{00000000-0005-0000-0000-000059040000}"/>
    <cellStyle name="40% - Accent1 7 3 2" xfId="15118" xr:uid="{2FF5F040-1621-4390-907B-49768DC83E00}"/>
    <cellStyle name="40% - Accent1 7 3 3" xfId="23565" xr:uid="{8BDFE0BE-826A-40EF-AEA7-D8E0CDBA963F}"/>
    <cellStyle name="40% - Accent1 7 4" xfId="10901" xr:uid="{9C08A45C-5167-4124-987A-AF525EEE757D}"/>
    <cellStyle name="40% - Accent1 7 5" xfId="19348" xr:uid="{09D0C0C2-2EAE-431D-8EFD-B4B9C1B21F2E}"/>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C47046E9-BD23-42B7-A5CF-A086CE1C0803}"/>
    <cellStyle name="40% - Accent1 8 2 2 3" xfId="26123" xr:uid="{41778DCE-A235-42A3-ABDD-C689E3DC9741}"/>
    <cellStyle name="40% - Accent1 8 2 3" xfId="13459" xr:uid="{2DF658C9-5859-465B-AF67-EF45DE6838FD}"/>
    <cellStyle name="40% - Accent1 8 2 4" xfId="21906" xr:uid="{BF508AF6-A3AC-4827-BD7D-7BDFD5ED9EB3}"/>
    <cellStyle name="40% - Accent1 8 3" xfId="6205" xr:uid="{00000000-0005-0000-0000-00005D040000}"/>
    <cellStyle name="40% - Accent1 8 3 2" xfId="15531" xr:uid="{85CB1129-D13E-419F-9A59-E39DF9698F8C}"/>
    <cellStyle name="40% - Accent1 8 3 3" xfId="23978" xr:uid="{5313AEC1-1025-4358-861F-28A3EBDF9DB0}"/>
    <cellStyle name="40% - Accent1 8 4" xfId="11314" xr:uid="{DCB8E583-3FF4-41CF-8BC7-BEB002FF013C}"/>
    <cellStyle name="40% - Accent1 8 5" xfId="19761" xr:uid="{4E372CA3-7F52-4032-97C0-01FB77EEA18C}"/>
    <cellStyle name="40% - Accent1 9" xfId="2312" xr:uid="{00000000-0005-0000-0000-00005E040000}"/>
    <cellStyle name="40% - Accent1 9 2" xfId="6618" xr:uid="{00000000-0005-0000-0000-00005F040000}"/>
    <cellStyle name="40% - Accent1 9 2 2" xfId="15944" xr:uid="{68BD4C57-A2C5-4A01-870A-DBE39B825E13}"/>
    <cellStyle name="40% - Accent1 9 2 3" xfId="24391" xr:uid="{2D559B11-6DE7-4231-A4A1-993941BCFB63}"/>
    <cellStyle name="40% - Accent1 9 3" xfId="11727" xr:uid="{22AB35D0-73F2-4054-B1D3-C33557D69114}"/>
    <cellStyle name="40% - Accent1 9 4" xfId="20174" xr:uid="{7E15A4F7-2584-4734-8ACF-A46A17813659}"/>
    <cellStyle name="40% - Accent2" xfId="57" builtinId="35" customBuiltin="1"/>
    <cellStyle name="40% - Accent2 10" xfId="4560" xr:uid="{00000000-0005-0000-0000-000061040000}"/>
    <cellStyle name="40% - Accent2 10 2" xfId="13886" xr:uid="{5C2592DE-65E7-4788-AA9C-9999E2B91979}"/>
    <cellStyle name="40% - Accent2 10 3" xfId="22333" xr:uid="{9481CBFF-D998-4AF0-823F-474DF5E15DF1}"/>
    <cellStyle name="40% - Accent2 11" xfId="8761" xr:uid="{8631D9D1-53DA-4958-8F7C-AD68B7B91D61}"/>
    <cellStyle name="40% - Accent2 12" xfId="9669" xr:uid="{FEC8BB28-3AE9-464E-A785-D7B989BD98ED}"/>
    <cellStyle name="40% - Accent2 13" xfId="18116" xr:uid="{B2074628-2B6F-434B-A5B7-B9F0AE217A9A}"/>
    <cellStyle name="40% - Accent2 2" xfId="58" xr:uid="{00000000-0005-0000-0000-000062040000}"/>
    <cellStyle name="40% - Accent2 2 10" xfId="8799" xr:uid="{E3EEC046-6E76-44A5-8D1B-64621A8F0AC5}"/>
    <cellStyle name="40% - Accent2 2 11" xfId="9670" xr:uid="{8112C7B3-8936-439C-B157-A1230F912B0F}"/>
    <cellStyle name="40% - Accent2 2 12" xfId="18117" xr:uid="{4F0E9C04-EB36-4564-B9D9-2623BC2D01E4}"/>
    <cellStyle name="40% - Accent2 2 2" xfId="59" xr:uid="{00000000-0005-0000-0000-000063040000}"/>
    <cellStyle name="40% - Accent2 2 2 10" xfId="9671" xr:uid="{EED8E2AE-3358-47A9-A0CA-73875F4DF81F}"/>
    <cellStyle name="40% - Accent2 2 2 11" xfId="18118" xr:uid="{F887A226-0EFA-4E3F-84D0-CCB4CC80C83B}"/>
    <cellStyle name="40% - Accent2 2 2 2" xfId="60" xr:uid="{00000000-0005-0000-0000-000064040000}"/>
    <cellStyle name="40% - Accent2 2 2 2 10" xfId="18119" xr:uid="{3678B848-5B31-4878-A29A-726A77D5B452}"/>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A22C874B-5023-4FF1-A906-C38BE001AFDB}"/>
    <cellStyle name="40% - Accent2 2 2 2 2 2 2 3" xfId="24895" xr:uid="{A9040840-2654-4187-B598-1E624B19EB7E}"/>
    <cellStyle name="40% - Accent2 2 2 2 2 2 3" xfId="12231" xr:uid="{7D3769B2-777A-4C9A-849F-4895A44CCD65}"/>
    <cellStyle name="40% - Accent2 2 2 2 2 2 4" xfId="20678" xr:uid="{B9EEC6CA-277A-4AFA-BD49-6252DEAA174C}"/>
    <cellStyle name="40% - Accent2 2 2 2 2 3" xfId="4977" xr:uid="{00000000-0005-0000-0000-000068040000}"/>
    <cellStyle name="40% - Accent2 2 2 2 2 3 2" xfId="14303" xr:uid="{BEFB0EC9-DFF7-431A-B776-8496FC8046B3}"/>
    <cellStyle name="40% - Accent2 2 2 2 2 3 3" xfId="22750" xr:uid="{195F42C4-D240-49B1-9BE0-FC6A16214AB1}"/>
    <cellStyle name="40% - Accent2 2 2 2 2 4" xfId="9534" xr:uid="{9F53A086-33FC-422E-9DFF-72D04AC43949}"/>
    <cellStyle name="40% - Accent2 2 2 2 2 5" xfId="10086" xr:uid="{CBC24D3F-E8D5-4EE2-BB96-6AA629CA7C15}"/>
    <cellStyle name="40% - Accent2 2 2 2 2 6" xfId="18533" xr:uid="{6A4882D8-C74C-4C63-8107-DCB61EF2929B}"/>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EF39ECB1-B388-4E2F-AD73-D7457F2DD4EE}"/>
    <cellStyle name="40% - Accent2 2 2 2 3 2 2 3" xfId="25308" xr:uid="{4C248934-3F2D-4101-BBC8-253E442A54B6}"/>
    <cellStyle name="40% - Accent2 2 2 2 3 2 3" xfId="12644" xr:uid="{136DD278-4DCF-49BE-8483-E8A74A8EA4DD}"/>
    <cellStyle name="40% - Accent2 2 2 2 3 2 4" xfId="21091" xr:uid="{A50BB37C-FFBA-44EF-98E3-1EBDBF93C111}"/>
    <cellStyle name="40% - Accent2 2 2 2 3 3" xfId="5390" xr:uid="{00000000-0005-0000-0000-00006C040000}"/>
    <cellStyle name="40% - Accent2 2 2 2 3 3 2" xfId="14716" xr:uid="{1C338145-D0FC-4EE1-8E47-FA45A6FEBA69}"/>
    <cellStyle name="40% - Accent2 2 2 2 3 3 3" xfId="23163" xr:uid="{18A56123-1964-403F-AC44-AB35F47EAF57}"/>
    <cellStyle name="40% - Accent2 2 2 2 3 4" xfId="10499" xr:uid="{0C2522F6-F598-4C02-B4A8-879B248B4632}"/>
    <cellStyle name="40% - Accent2 2 2 2 3 5" xfId="18946" xr:uid="{2351047E-AFEE-482B-A6F9-B16FC1BD22C9}"/>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4A8C5F97-9F51-4529-9FD3-F3E235649E4E}"/>
    <cellStyle name="40% - Accent2 2 2 2 4 2 2 3" xfId="25721" xr:uid="{EB1C7579-55C3-4D10-93E2-7B407BCA0D75}"/>
    <cellStyle name="40% - Accent2 2 2 2 4 2 3" xfId="13057" xr:uid="{F9B6E9E7-307E-4FC8-9E1F-A68FE654EADC}"/>
    <cellStyle name="40% - Accent2 2 2 2 4 2 4" xfId="21504" xr:uid="{4A9B634F-009D-4D62-B329-4BCD7DF2CF3C}"/>
    <cellStyle name="40% - Accent2 2 2 2 4 3" xfId="5803" xr:uid="{00000000-0005-0000-0000-000070040000}"/>
    <cellStyle name="40% - Accent2 2 2 2 4 3 2" xfId="15129" xr:uid="{8714CD24-E6C5-421B-973D-AAA06AFF815A}"/>
    <cellStyle name="40% - Accent2 2 2 2 4 3 3" xfId="23576" xr:uid="{750868CB-5BD3-4499-AF67-4EB8AC65FE81}"/>
    <cellStyle name="40% - Accent2 2 2 2 4 4" xfId="10912" xr:uid="{B9CE845E-1684-4EED-BE3A-810AEC2350BC}"/>
    <cellStyle name="40% - Accent2 2 2 2 4 5" xfId="19359" xr:uid="{6AD802BA-3818-47C8-B728-1131C4C8920B}"/>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91057EC5-DA10-4AD7-92BC-9CD4787FBB2B}"/>
    <cellStyle name="40% - Accent2 2 2 2 5 2 2 3" xfId="26134" xr:uid="{30E38EE9-CE3B-447A-9820-8952C99D9662}"/>
    <cellStyle name="40% - Accent2 2 2 2 5 2 3" xfId="13470" xr:uid="{84DF431E-9C0A-46E2-92D9-7242653F9B66}"/>
    <cellStyle name="40% - Accent2 2 2 2 5 2 4" xfId="21917" xr:uid="{EAAC4B5C-EBF9-4B4C-A439-632DA7AD18A5}"/>
    <cellStyle name="40% - Accent2 2 2 2 5 3" xfId="6216" xr:uid="{00000000-0005-0000-0000-000074040000}"/>
    <cellStyle name="40% - Accent2 2 2 2 5 3 2" xfId="15542" xr:uid="{BF159FD7-9A3A-4557-A488-CF4BAB04867C}"/>
    <cellStyle name="40% - Accent2 2 2 2 5 3 3" xfId="23989" xr:uid="{E63E30E2-488D-4553-888E-E138ABEE4831}"/>
    <cellStyle name="40% - Accent2 2 2 2 5 4" xfId="11325" xr:uid="{DDAE20FD-C520-45A9-9AD2-83B15528315D}"/>
    <cellStyle name="40% - Accent2 2 2 2 5 5" xfId="19772" xr:uid="{7197D5DF-2208-4932-9522-F99514C5C62B}"/>
    <cellStyle name="40% - Accent2 2 2 2 6" xfId="2323" xr:uid="{00000000-0005-0000-0000-000075040000}"/>
    <cellStyle name="40% - Accent2 2 2 2 6 2" xfId="6629" xr:uid="{00000000-0005-0000-0000-000076040000}"/>
    <cellStyle name="40% - Accent2 2 2 2 6 2 2" xfId="15955" xr:uid="{1A99294B-8EEC-4DA7-B219-E1959A407DC4}"/>
    <cellStyle name="40% - Accent2 2 2 2 6 2 3" xfId="24402" xr:uid="{9D668191-7981-41C0-B01F-9BBF89BD6875}"/>
    <cellStyle name="40% - Accent2 2 2 2 6 3" xfId="11738" xr:uid="{0C422292-5387-4FAD-8614-5749831C2E86}"/>
    <cellStyle name="40% - Accent2 2 2 2 6 4" xfId="20185" xr:uid="{5344C89C-8282-4B54-8DFF-D03C877614DA}"/>
    <cellStyle name="40% - Accent2 2 2 2 7" xfId="4563" xr:uid="{00000000-0005-0000-0000-000077040000}"/>
    <cellStyle name="40% - Accent2 2 2 2 7 2" xfId="13889" xr:uid="{40EC415D-AB5F-42CB-9CA6-5734BD2136B6}"/>
    <cellStyle name="40% - Accent2 2 2 2 7 3" xfId="22336" xr:uid="{DA294150-BCF9-4621-A9EF-A20558786698}"/>
    <cellStyle name="40% - Accent2 2 2 2 8" xfId="9109" xr:uid="{73F0012D-4386-4224-BFB0-7DB1C0E98822}"/>
    <cellStyle name="40% - Accent2 2 2 2 9" xfId="9672" xr:uid="{2E4A0CD7-67A2-4713-9B4E-7F5C4044C8D5}"/>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87669359-570A-4265-B5DF-B804FAE87FBC}"/>
    <cellStyle name="40% - Accent2 2 2 3 2 2 3" xfId="24894" xr:uid="{D09B48BF-E442-44FA-A8E0-E177BA25BD5E}"/>
    <cellStyle name="40% - Accent2 2 2 3 2 3" xfId="12230" xr:uid="{AC5C54FE-E8C9-4B35-84F3-8564843A12C3}"/>
    <cellStyle name="40% - Accent2 2 2 3 2 4" xfId="20677" xr:uid="{BC759BE7-5B8F-4714-860B-E19E82461C6E}"/>
    <cellStyle name="40% - Accent2 2 2 3 3" xfId="4976" xr:uid="{00000000-0005-0000-0000-00007B040000}"/>
    <cellStyle name="40% - Accent2 2 2 3 3 2" xfId="14302" xr:uid="{40DDAFF1-E139-4505-AF80-6292B409701F}"/>
    <cellStyle name="40% - Accent2 2 2 3 3 3" xfId="22749" xr:uid="{F03B9A24-32BE-4500-AA56-375C63F3A731}"/>
    <cellStyle name="40% - Accent2 2 2 3 4" xfId="9327" xr:uid="{F2BC9A12-B689-4B73-B71E-77A9F0BC7FE4}"/>
    <cellStyle name="40% - Accent2 2 2 3 5" xfId="10085" xr:uid="{8AB00C06-765E-41A9-9A01-B4E84968F8E5}"/>
    <cellStyle name="40% - Accent2 2 2 3 6" xfId="18532" xr:uid="{D92A653A-B0B4-4856-8E2D-465EFA70C48F}"/>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0CCFE6B6-EAEA-493C-BF1D-76FF5DC00B72}"/>
    <cellStyle name="40% - Accent2 2 2 4 2 2 3" xfId="25307" xr:uid="{5617DB37-9BC7-4B69-B219-2778C2655D5F}"/>
    <cellStyle name="40% - Accent2 2 2 4 2 3" xfId="12643" xr:uid="{2B296218-4BAE-473E-A2C4-98D70873D91A}"/>
    <cellStyle name="40% - Accent2 2 2 4 2 4" xfId="21090" xr:uid="{F1DDCD4A-E63F-4674-8A03-BDE2A27582B1}"/>
    <cellStyle name="40% - Accent2 2 2 4 3" xfId="5389" xr:uid="{00000000-0005-0000-0000-00007F040000}"/>
    <cellStyle name="40% - Accent2 2 2 4 3 2" xfId="14715" xr:uid="{C0A36554-B6A6-4C56-BB55-726E4341197D}"/>
    <cellStyle name="40% - Accent2 2 2 4 3 3" xfId="23162" xr:uid="{4C0F51C8-4A22-410A-AD29-1E3F4D3198B0}"/>
    <cellStyle name="40% - Accent2 2 2 4 4" xfId="10498" xr:uid="{95E251CB-FFEF-429A-9F24-CC8507B1EDF3}"/>
    <cellStyle name="40% - Accent2 2 2 4 5" xfId="18945" xr:uid="{774C635E-79F3-45DD-A378-312ED19DECDD}"/>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B9008AFF-A4E9-44A0-9ACD-C12117681328}"/>
    <cellStyle name="40% - Accent2 2 2 5 2 2 3" xfId="25720" xr:uid="{DA16F94F-4AB6-4820-A2EF-9337008C7B08}"/>
    <cellStyle name="40% - Accent2 2 2 5 2 3" xfId="13056" xr:uid="{11CC923D-51D5-4887-8344-BE01DF076D48}"/>
    <cellStyle name="40% - Accent2 2 2 5 2 4" xfId="21503" xr:uid="{B80C3DDD-EF52-409E-9F46-434AE46C0DA6}"/>
    <cellStyle name="40% - Accent2 2 2 5 3" xfId="5802" xr:uid="{00000000-0005-0000-0000-000083040000}"/>
    <cellStyle name="40% - Accent2 2 2 5 3 2" xfId="15128" xr:uid="{EFB362C7-3375-4F67-8A2B-FEE5BD68B4DB}"/>
    <cellStyle name="40% - Accent2 2 2 5 3 3" xfId="23575" xr:uid="{B60AA5E8-A885-40AB-8922-F1D0FBA55820}"/>
    <cellStyle name="40% - Accent2 2 2 5 4" xfId="10911" xr:uid="{D192836F-E75C-4489-8151-7B5B651DD959}"/>
    <cellStyle name="40% - Accent2 2 2 5 5" xfId="19358" xr:uid="{6D813D4E-DB39-47C7-8241-9540938B0095}"/>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6D74D138-E032-4C50-A005-F7CF7CC0ADF4}"/>
    <cellStyle name="40% - Accent2 2 2 6 2 2 3" xfId="26133" xr:uid="{DA4A798F-3D5D-4954-9BA7-CEB09732E4D6}"/>
    <cellStyle name="40% - Accent2 2 2 6 2 3" xfId="13469" xr:uid="{C5B1DD29-1931-4B6D-A2AF-7602677EB74F}"/>
    <cellStyle name="40% - Accent2 2 2 6 2 4" xfId="21916" xr:uid="{31F3D407-11BC-416F-B21A-965A2F96C85C}"/>
    <cellStyle name="40% - Accent2 2 2 6 3" xfId="6215" xr:uid="{00000000-0005-0000-0000-000087040000}"/>
    <cellStyle name="40% - Accent2 2 2 6 3 2" xfId="15541" xr:uid="{D2407841-D578-416E-8EDB-8404394629A5}"/>
    <cellStyle name="40% - Accent2 2 2 6 3 3" xfId="23988" xr:uid="{B136E418-DEA9-456D-8D97-3C096B6E20FE}"/>
    <cellStyle name="40% - Accent2 2 2 6 4" xfId="11324" xr:uid="{D7D358F4-106E-4B77-8C8C-7B71E78F2B35}"/>
    <cellStyle name="40% - Accent2 2 2 6 5" xfId="19771" xr:uid="{13AF6CAB-609D-41E2-B2A7-29B7BFEA2605}"/>
    <cellStyle name="40% - Accent2 2 2 7" xfId="2322" xr:uid="{00000000-0005-0000-0000-000088040000}"/>
    <cellStyle name="40% - Accent2 2 2 7 2" xfId="6628" xr:uid="{00000000-0005-0000-0000-000089040000}"/>
    <cellStyle name="40% - Accent2 2 2 7 2 2" xfId="15954" xr:uid="{BE469FEA-704B-49F7-8FBF-D3ECB0A39CB6}"/>
    <cellStyle name="40% - Accent2 2 2 7 2 3" xfId="24401" xr:uid="{ADA6C254-CBB8-4EE3-B33C-E412511BAD07}"/>
    <cellStyle name="40% - Accent2 2 2 7 3" xfId="11737" xr:uid="{199660C0-6739-446E-846F-FE6D141D3FF9}"/>
    <cellStyle name="40% - Accent2 2 2 7 4" xfId="20184" xr:uid="{4B455C54-91CA-4F63-B45E-D0FE28EA59D7}"/>
    <cellStyle name="40% - Accent2 2 2 8" xfId="4562" xr:uid="{00000000-0005-0000-0000-00008A040000}"/>
    <cellStyle name="40% - Accent2 2 2 8 2" xfId="13888" xr:uid="{8E04BF2C-C7AA-4D1F-9AA0-134C7258DBCD}"/>
    <cellStyle name="40% - Accent2 2 2 8 3" xfId="22335" xr:uid="{A29AF5F2-F229-46E8-B948-D2DDF42E9A62}"/>
    <cellStyle name="40% - Accent2 2 2 9" xfId="8902" xr:uid="{5D0C2022-B7A4-4DE2-895F-9E4BE510A7B9}"/>
    <cellStyle name="40% - Accent2 2 3" xfId="61" xr:uid="{00000000-0005-0000-0000-00008B040000}"/>
    <cellStyle name="40% - Accent2 2 3 10" xfId="18120" xr:uid="{9D199AB1-EA9E-4D96-A500-22CB2D4E8467}"/>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A83E45B0-4C05-4D92-B18F-52EBE608747F}"/>
    <cellStyle name="40% - Accent2 2 3 2 2 2 3" xfId="24896" xr:uid="{447A5C3D-955A-441B-A124-AF9FE8A3283A}"/>
    <cellStyle name="40% - Accent2 2 3 2 2 3" xfId="12232" xr:uid="{A2CF05B1-FF93-4636-8E42-62097689D331}"/>
    <cellStyle name="40% - Accent2 2 3 2 2 4" xfId="20679" xr:uid="{4AF7FC86-37FF-4BF7-B9D7-7786889FF47D}"/>
    <cellStyle name="40% - Accent2 2 3 2 3" xfId="4978" xr:uid="{00000000-0005-0000-0000-00008F040000}"/>
    <cellStyle name="40% - Accent2 2 3 2 3 2" xfId="14304" xr:uid="{7BE70265-9AB5-4F02-A3FC-073940F68EC2}"/>
    <cellStyle name="40% - Accent2 2 3 2 3 3" xfId="22751" xr:uid="{C1E4071C-10F1-49D5-BFEE-D508E535AED9}"/>
    <cellStyle name="40% - Accent2 2 3 2 4" xfId="9431" xr:uid="{BD4E3561-302E-4359-AAF3-4F2E007BC697}"/>
    <cellStyle name="40% - Accent2 2 3 2 5" xfId="10087" xr:uid="{E801F73E-849F-4865-9F40-297C5B3C197F}"/>
    <cellStyle name="40% - Accent2 2 3 2 6" xfId="18534" xr:uid="{50196859-D097-4CFF-97D5-63CBFC8A9501}"/>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A545B47A-99D3-4367-8511-67CE89EE161E}"/>
    <cellStyle name="40% - Accent2 2 3 3 2 2 3" xfId="25309" xr:uid="{34046F25-6EA1-4184-8759-B0712A1C82F4}"/>
    <cellStyle name="40% - Accent2 2 3 3 2 3" xfId="12645" xr:uid="{AE4C5261-49B7-4FF8-BC2B-98D48353B14A}"/>
    <cellStyle name="40% - Accent2 2 3 3 2 4" xfId="21092" xr:uid="{44791786-92D5-45C8-B150-9E7078BEAFDA}"/>
    <cellStyle name="40% - Accent2 2 3 3 3" xfId="5391" xr:uid="{00000000-0005-0000-0000-000093040000}"/>
    <cellStyle name="40% - Accent2 2 3 3 3 2" xfId="14717" xr:uid="{20439DD5-6838-45A3-B0EB-73CD92E74624}"/>
    <cellStyle name="40% - Accent2 2 3 3 3 3" xfId="23164" xr:uid="{916C6E08-6F35-440E-AF3E-7FDCED0CC279}"/>
    <cellStyle name="40% - Accent2 2 3 3 4" xfId="10500" xr:uid="{694ED157-A86C-42B7-8F64-8820D6A4AF2F}"/>
    <cellStyle name="40% - Accent2 2 3 3 5" xfId="18947" xr:uid="{0F381DED-32E8-4E8B-AED3-A9074B485810}"/>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919F592A-6608-43BE-A560-0BE98D0875FA}"/>
    <cellStyle name="40% - Accent2 2 3 4 2 2 3" xfId="25722" xr:uid="{445C811C-9236-4BF1-B815-DCF36FB4FEF9}"/>
    <cellStyle name="40% - Accent2 2 3 4 2 3" xfId="13058" xr:uid="{0DFE930C-E0CD-4B1C-AF94-76C27A0BAEF1}"/>
    <cellStyle name="40% - Accent2 2 3 4 2 4" xfId="21505" xr:uid="{4EB8B2AC-75C2-4CD6-9F4A-54F22AE8D1B6}"/>
    <cellStyle name="40% - Accent2 2 3 4 3" xfId="5804" xr:uid="{00000000-0005-0000-0000-000097040000}"/>
    <cellStyle name="40% - Accent2 2 3 4 3 2" xfId="15130" xr:uid="{DD349D03-8050-4D73-A3EE-383A04D985C0}"/>
    <cellStyle name="40% - Accent2 2 3 4 3 3" xfId="23577" xr:uid="{AEA2D2E5-9D1C-4099-9766-C420262FEF3F}"/>
    <cellStyle name="40% - Accent2 2 3 4 4" xfId="10913" xr:uid="{D4800F9E-61E1-44C0-894D-C27B0CD5D449}"/>
    <cellStyle name="40% - Accent2 2 3 4 5" xfId="19360" xr:uid="{D8D565D9-BF89-438C-A32B-C2500F67C36D}"/>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4A3BE8A6-72B8-4B04-87DF-19A630CEAC20}"/>
    <cellStyle name="40% - Accent2 2 3 5 2 2 3" xfId="26135" xr:uid="{514BEE72-EB89-4972-8B11-2DDB1596AA90}"/>
    <cellStyle name="40% - Accent2 2 3 5 2 3" xfId="13471" xr:uid="{6D8BC45D-ACCE-4B29-932C-132ED95CBAC4}"/>
    <cellStyle name="40% - Accent2 2 3 5 2 4" xfId="21918" xr:uid="{5FF597F7-2FFC-4A8A-88A3-6D2DB2DB2D06}"/>
    <cellStyle name="40% - Accent2 2 3 5 3" xfId="6217" xr:uid="{00000000-0005-0000-0000-00009B040000}"/>
    <cellStyle name="40% - Accent2 2 3 5 3 2" xfId="15543" xr:uid="{C7A93C79-1ACB-494E-BA64-DDCDD232DD0C}"/>
    <cellStyle name="40% - Accent2 2 3 5 3 3" xfId="23990" xr:uid="{8F03CD92-4BB9-41A4-AC63-19D0BD4C80ED}"/>
    <cellStyle name="40% - Accent2 2 3 5 4" xfId="11326" xr:uid="{087D8F86-211F-4B59-AB1A-B6B9434D1844}"/>
    <cellStyle name="40% - Accent2 2 3 5 5" xfId="19773" xr:uid="{2415E390-85BC-4EC7-9C84-317A080BCAB2}"/>
    <cellStyle name="40% - Accent2 2 3 6" xfId="2324" xr:uid="{00000000-0005-0000-0000-00009C040000}"/>
    <cellStyle name="40% - Accent2 2 3 6 2" xfId="6630" xr:uid="{00000000-0005-0000-0000-00009D040000}"/>
    <cellStyle name="40% - Accent2 2 3 6 2 2" xfId="15956" xr:uid="{E177C161-692E-4A48-87DA-3A6FB0390FF8}"/>
    <cellStyle name="40% - Accent2 2 3 6 2 3" xfId="24403" xr:uid="{603A8E95-2FA0-470D-BAE3-2F38FDF8E74D}"/>
    <cellStyle name="40% - Accent2 2 3 6 3" xfId="11739" xr:uid="{3246A00E-5A98-4AE6-B780-30BE998F5750}"/>
    <cellStyle name="40% - Accent2 2 3 6 4" xfId="20186" xr:uid="{0E672EA5-65E2-48E1-A568-0EF7C007672B}"/>
    <cellStyle name="40% - Accent2 2 3 7" xfId="4564" xr:uid="{00000000-0005-0000-0000-00009E040000}"/>
    <cellStyle name="40% - Accent2 2 3 7 2" xfId="13890" xr:uid="{81488219-D66B-4355-9BAC-01DF42C0A07D}"/>
    <cellStyle name="40% - Accent2 2 3 7 3" xfId="22337" xr:uid="{04EBDD29-21CB-4C44-9693-74B601E96678}"/>
    <cellStyle name="40% - Accent2 2 3 8" xfId="9006" xr:uid="{E6E89EA5-B76F-4FCC-89B9-DD4135B6364B}"/>
    <cellStyle name="40% - Accent2 2 3 9" xfId="9673" xr:uid="{5EFB98D7-CC23-4522-9F2B-CB659B86EDC8}"/>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EBEBA501-A989-4AA5-AAF2-9C772A62B001}"/>
    <cellStyle name="40% - Accent2 2 4 2 2 3" xfId="24893" xr:uid="{AF9C43E3-2841-4F95-8468-2D9051BA2518}"/>
    <cellStyle name="40% - Accent2 2 4 2 3" xfId="12229" xr:uid="{4D49951E-46D8-4F0B-B700-5F536733E05B}"/>
    <cellStyle name="40% - Accent2 2 4 2 4" xfId="20676" xr:uid="{3C712DA0-744A-4F43-A05E-1A3179FF6673}"/>
    <cellStyle name="40% - Accent2 2 4 3" xfId="4975" xr:uid="{00000000-0005-0000-0000-0000A2040000}"/>
    <cellStyle name="40% - Accent2 2 4 3 2" xfId="14301" xr:uid="{F4208AA4-CAAC-4E2E-9600-70D9446E1150}"/>
    <cellStyle name="40% - Accent2 2 4 3 3" xfId="22748" xr:uid="{27273A8F-1A90-435E-8516-5608C98E3618}"/>
    <cellStyle name="40% - Accent2 2 4 4" xfId="9223" xr:uid="{FA9890B4-781A-4E4C-81EE-BC7448559828}"/>
    <cellStyle name="40% - Accent2 2 4 5" xfId="10084" xr:uid="{39AFDE98-00DF-46D2-BBE8-2702722C9978}"/>
    <cellStyle name="40% - Accent2 2 4 6" xfId="18531" xr:uid="{052ADCF0-5938-485E-AA39-7BC3E8E5DC8F}"/>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3D99BB99-4798-44AA-BF05-E9DC0B812E78}"/>
    <cellStyle name="40% - Accent2 2 5 2 2 3" xfId="25306" xr:uid="{2A80101F-EF8D-4963-8720-A9BA44D749A6}"/>
    <cellStyle name="40% - Accent2 2 5 2 3" xfId="12642" xr:uid="{923FD1E8-B929-4EC0-A434-176693A70459}"/>
    <cellStyle name="40% - Accent2 2 5 2 4" xfId="21089" xr:uid="{DE0E6B11-BA67-4C1C-B5F7-86F967F09405}"/>
    <cellStyle name="40% - Accent2 2 5 3" xfId="5388" xr:uid="{00000000-0005-0000-0000-0000A6040000}"/>
    <cellStyle name="40% - Accent2 2 5 3 2" xfId="14714" xr:uid="{FA36A658-E138-4E2A-99F5-22E070C337CF}"/>
    <cellStyle name="40% - Accent2 2 5 3 3" xfId="23161" xr:uid="{726ECC69-12FB-40CC-B9C2-36D093D6057A}"/>
    <cellStyle name="40% - Accent2 2 5 4" xfId="10497" xr:uid="{E49B9A9E-9F8F-4961-B914-D869540EF113}"/>
    <cellStyle name="40% - Accent2 2 5 5" xfId="18944" xr:uid="{9DDF0B09-A7E8-4B37-B8C4-49D1D3073A76}"/>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E2D9151B-0E28-4524-9A75-075E160E630A}"/>
    <cellStyle name="40% - Accent2 2 6 2 2 3" xfId="25719" xr:uid="{AD480581-3D2D-4780-B675-4C37856C8F0A}"/>
    <cellStyle name="40% - Accent2 2 6 2 3" xfId="13055" xr:uid="{16F7A61B-8711-4A78-B4EB-6B0B4E6CE568}"/>
    <cellStyle name="40% - Accent2 2 6 2 4" xfId="21502" xr:uid="{F4F3912A-544D-4C97-8DBB-A41F04223DD9}"/>
    <cellStyle name="40% - Accent2 2 6 3" xfId="5801" xr:uid="{00000000-0005-0000-0000-0000AA040000}"/>
    <cellStyle name="40% - Accent2 2 6 3 2" xfId="15127" xr:uid="{6059049B-4621-44D8-9C33-2A45603DEB28}"/>
    <cellStyle name="40% - Accent2 2 6 3 3" xfId="23574" xr:uid="{B8E91628-7AC4-43D4-B00F-B9470E5F7450}"/>
    <cellStyle name="40% - Accent2 2 6 4" xfId="10910" xr:uid="{DC836BA5-C5FA-4112-BF35-1BAE2B64CE5A}"/>
    <cellStyle name="40% - Accent2 2 6 5" xfId="19357" xr:uid="{6654F431-0F63-4008-B688-501C5A3A388A}"/>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124D07F6-4143-424E-8E43-025191004CF5}"/>
    <cellStyle name="40% - Accent2 2 7 2 2 3" xfId="26132" xr:uid="{046947F1-8E8E-46D9-A55C-E496FD4E46D7}"/>
    <cellStyle name="40% - Accent2 2 7 2 3" xfId="13468" xr:uid="{F041247B-1877-40CB-BB50-F0BCF6AD8A18}"/>
    <cellStyle name="40% - Accent2 2 7 2 4" xfId="21915" xr:uid="{485E2273-9243-4585-AA0A-A698399F9B7C}"/>
    <cellStyle name="40% - Accent2 2 7 3" xfId="6214" xr:uid="{00000000-0005-0000-0000-0000AE040000}"/>
    <cellStyle name="40% - Accent2 2 7 3 2" xfId="15540" xr:uid="{0303E943-0968-4214-AAB3-C6C98DB84297}"/>
    <cellStyle name="40% - Accent2 2 7 3 3" xfId="23987" xr:uid="{DC1B9E60-8B43-492E-8A05-18CEE9ACD368}"/>
    <cellStyle name="40% - Accent2 2 7 4" xfId="11323" xr:uid="{A56381A1-5920-40F3-93FC-2B27A1ED8ECE}"/>
    <cellStyle name="40% - Accent2 2 7 5" xfId="19770" xr:uid="{91F69785-EC16-4436-B7C6-61F840CDA6BE}"/>
    <cellStyle name="40% - Accent2 2 8" xfId="2321" xr:uid="{00000000-0005-0000-0000-0000AF040000}"/>
    <cellStyle name="40% - Accent2 2 8 2" xfId="6627" xr:uid="{00000000-0005-0000-0000-0000B0040000}"/>
    <cellStyle name="40% - Accent2 2 8 2 2" xfId="15953" xr:uid="{D0CC1026-C3ED-4F68-BC7E-9D3F30CAD851}"/>
    <cellStyle name="40% - Accent2 2 8 2 3" xfId="24400" xr:uid="{EC422B05-993A-47CE-84AA-87D0EAB0F6A6}"/>
    <cellStyle name="40% - Accent2 2 8 3" xfId="11736" xr:uid="{AD80310E-F885-49E6-8C6E-D3A717C21B7A}"/>
    <cellStyle name="40% - Accent2 2 8 4" xfId="20183" xr:uid="{AF0E3B93-3CD8-4ACA-B4B7-7B87B3766E2A}"/>
    <cellStyle name="40% - Accent2 2 9" xfId="4561" xr:uid="{00000000-0005-0000-0000-0000B1040000}"/>
    <cellStyle name="40% - Accent2 2 9 2" xfId="13887" xr:uid="{2F551B80-657C-47CE-B590-88849E91E376}"/>
    <cellStyle name="40% - Accent2 2 9 3" xfId="22334" xr:uid="{AFA72F7F-8920-4DCA-B60A-2A71DD6211FD}"/>
    <cellStyle name="40% - Accent2 3" xfId="62" xr:uid="{00000000-0005-0000-0000-0000B2040000}"/>
    <cellStyle name="40% - Accent2 3 10" xfId="9674" xr:uid="{F7020B43-D508-43D8-A8F1-E33E5317FB1A}"/>
    <cellStyle name="40% - Accent2 3 11" xfId="18121" xr:uid="{48757D47-EABC-458C-BF6C-CF33293DBE01}"/>
    <cellStyle name="40% - Accent2 3 2" xfId="63" xr:uid="{00000000-0005-0000-0000-0000B3040000}"/>
    <cellStyle name="40% - Accent2 3 2 10" xfId="18122" xr:uid="{7FF8DF3B-B71C-478E-AF0A-E88AC225BB59}"/>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8EF8CAEE-0F09-491B-AC31-936E7D87AC5C}"/>
    <cellStyle name="40% - Accent2 3 2 2 2 2 3" xfId="24898" xr:uid="{D01F3202-F71C-4CD6-A685-B8BE19418E8D}"/>
    <cellStyle name="40% - Accent2 3 2 2 2 3" xfId="12234" xr:uid="{4AD1A6BC-2764-4332-81D0-EA241DC52956}"/>
    <cellStyle name="40% - Accent2 3 2 2 2 4" xfId="20681" xr:uid="{185DB01E-C242-4BC0-BD55-649CB9C19C9F}"/>
    <cellStyle name="40% - Accent2 3 2 2 3" xfId="4980" xr:uid="{00000000-0005-0000-0000-0000B7040000}"/>
    <cellStyle name="40% - Accent2 3 2 2 3 2" xfId="14306" xr:uid="{69203895-D99D-49FE-9FCE-3802B616853E}"/>
    <cellStyle name="40% - Accent2 3 2 2 3 3" xfId="22753" xr:uid="{A8A30B59-12A4-4D8D-BD82-F6BFB4E56449}"/>
    <cellStyle name="40% - Accent2 3 2 2 4" xfId="9496" xr:uid="{700FA1AF-D943-4FDB-BFB1-F903AD1F731A}"/>
    <cellStyle name="40% - Accent2 3 2 2 5" xfId="10089" xr:uid="{111411DB-F1F8-416C-ACCD-00776C4B6CEF}"/>
    <cellStyle name="40% - Accent2 3 2 2 6" xfId="18536" xr:uid="{83498AF2-F4FB-4418-BACB-B21A4AC3A79D}"/>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C3AD0453-A37F-4C49-BB1D-CBDCD8CA9CA7}"/>
    <cellStyle name="40% - Accent2 3 2 3 2 2 3" xfId="25311" xr:uid="{441DB375-720F-46B3-AE7A-9D11B5374F64}"/>
    <cellStyle name="40% - Accent2 3 2 3 2 3" xfId="12647" xr:uid="{595A6085-1669-413B-AEB8-69F053DA24F2}"/>
    <cellStyle name="40% - Accent2 3 2 3 2 4" xfId="21094" xr:uid="{D6477BA4-1AD6-411C-8C77-9AA5D02CFAAC}"/>
    <cellStyle name="40% - Accent2 3 2 3 3" xfId="5393" xr:uid="{00000000-0005-0000-0000-0000BB040000}"/>
    <cellStyle name="40% - Accent2 3 2 3 3 2" xfId="14719" xr:uid="{E2729835-5194-404C-983B-D70B6AC75676}"/>
    <cellStyle name="40% - Accent2 3 2 3 3 3" xfId="23166" xr:uid="{BE84715D-6F66-4006-A5B0-E41F09680345}"/>
    <cellStyle name="40% - Accent2 3 2 3 4" xfId="10502" xr:uid="{E9F49FFE-1523-4B37-9F46-7B23AC4093B8}"/>
    <cellStyle name="40% - Accent2 3 2 3 5" xfId="18949" xr:uid="{304DD251-5D55-4FCD-B3A5-43B60BC1E2E0}"/>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1F073771-4EB8-491A-9A91-DF1896B4E2CE}"/>
    <cellStyle name="40% - Accent2 3 2 4 2 2 3" xfId="25724" xr:uid="{A78CBA23-9E59-4695-B2F7-1D85766E29B2}"/>
    <cellStyle name="40% - Accent2 3 2 4 2 3" xfId="13060" xr:uid="{27453773-E172-4049-9B27-916293318B46}"/>
    <cellStyle name="40% - Accent2 3 2 4 2 4" xfId="21507" xr:uid="{D8A377DC-1B55-463D-A922-8EB113BF93B3}"/>
    <cellStyle name="40% - Accent2 3 2 4 3" xfId="5806" xr:uid="{00000000-0005-0000-0000-0000BF040000}"/>
    <cellStyle name="40% - Accent2 3 2 4 3 2" xfId="15132" xr:uid="{B6E09074-346C-4AB9-9CD7-4B2E93C214B7}"/>
    <cellStyle name="40% - Accent2 3 2 4 3 3" xfId="23579" xr:uid="{067081F5-F478-4099-AB58-E8B342F0E519}"/>
    <cellStyle name="40% - Accent2 3 2 4 4" xfId="10915" xr:uid="{F61839E9-5219-4EB2-A974-CB3D99ED9CD1}"/>
    <cellStyle name="40% - Accent2 3 2 4 5" xfId="19362" xr:uid="{2254799E-2B6B-40BA-92D8-2A4BA108167D}"/>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40E5CA0C-9FE5-46A2-A8B5-79EB15F4F199}"/>
    <cellStyle name="40% - Accent2 3 2 5 2 2 3" xfId="26137" xr:uid="{BD3CA400-F1EE-433B-B285-C179415667C3}"/>
    <cellStyle name="40% - Accent2 3 2 5 2 3" xfId="13473" xr:uid="{775172F9-E14D-4B21-B439-B521B779B1D4}"/>
    <cellStyle name="40% - Accent2 3 2 5 2 4" xfId="21920" xr:uid="{8AFA7DF4-973D-45DE-8AD4-12FECD2F5A84}"/>
    <cellStyle name="40% - Accent2 3 2 5 3" xfId="6219" xr:uid="{00000000-0005-0000-0000-0000C3040000}"/>
    <cellStyle name="40% - Accent2 3 2 5 3 2" xfId="15545" xr:uid="{45269A40-C058-4E7B-951B-9287D73EB79A}"/>
    <cellStyle name="40% - Accent2 3 2 5 3 3" xfId="23992" xr:uid="{AD7D3D88-CC7F-4B6E-B5E2-0A0283C57C85}"/>
    <cellStyle name="40% - Accent2 3 2 5 4" xfId="11328" xr:uid="{C58FB053-4855-4D40-A533-3CCA1F8C58C9}"/>
    <cellStyle name="40% - Accent2 3 2 5 5" xfId="19775" xr:uid="{5F1A18FE-3776-4EA4-9BAE-32D89AF2665D}"/>
    <cellStyle name="40% - Accent2 3 2 6" xfId="2326" xr:uid="{00000000-0005-0000-0000-0000C4040000}"/>
    <cellStyle name="40% - Accent2 3 2 6 2" xfId="6632" xr:uid="{00000000-0005-0000-0000-0000C5040000}"/>
    <cellStyle name="40% - Accent2 3 2 6 2 2" xfId="15958" xr:uid="{631F0C03-5F3C-48D8-ACF1-619A3B9A5B0A}"/>
    <cellStyle name="40% - Accent2 3 2 6 2 3" xfId="24405" xr:uid="{F22618B7-FE7D-4B3F-A390-B4BD4798D8A2}"/>
    <cellStyle name="40% - Accent2 3 2 6 3" xfId="11741" xr:uid="{DDC4A9A5-FF76-41A8-AA14-E479C114FAC3}"/>
    <cellStyle name="40% - Accent2 3 2 6 4" xfId="20188" xr:uid="{AB96FD5E-899A-45A7-A06B-4475603C1C31}"/>
    <cellStyle name="40% - Accent2 3 2 7" xfId="4566" xr:uid="{00000000-0005-0000-0000-0000C6040000}"/>
    <cellStyle name="40% - Accent2 3 2 7 2" xfId="13892" xr:uid="{754EA6DD-C188-4D83-933F-2019E8FE0D9F}"/>
    <cellStyle name="40% - Accent2 3 2 7 3" xfId="22339" xr:uid="{85DF0D58-1BE3-479C-B6DA-22287AF527EE}"/>
    <cellStyle name="40% - Accent2 3 2 8" xfId="9071" xr:uid="{B5463F05-11FC-4377-B380-DDB549C63AA9}"/>
    <cellStyle name="40% - Accent2 3 2 9" xfId="9675" xr:uid="{FC3E643F-C7FC-4015-BAC4-F43FED38D459}"/>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A3B76F4A-0D86-43F7-A399-4567C2414AD2}"/>
    <cellStyle name="40% - Accent2 3 3 2 2 3" xfId="24897" xr:uid="{42A1097F-84B4-48EB-8422-A6629C7774A1}"/>
    <cellStyle name="40% - Accent2 3 3 2 3" xfId="12233" xr:uid="{721E3B3B-BA23-4461-9F9F-FA6A2BF504EF}"/>
    <cellStyle name="40% - Accent2 3 3 2 4" xfId="20680" xr:uid="{4B268AFA-D45E-4B2E-B421-B4FD7F7BB206}"/>
    <cellStyle name="40% - Accent2 3 3 3" xfId="4979" xr:uid="{00000000-0005-0000-0000-0000CA040000}"/>
    <cellStyle name="40% - Accent2 3 3 3 2" xfId="14305" xr:uid="{00501A21-B074-496B-8254-FAC91E712A1C}"/>
    <cellStyle name="40% - Accent2 3 3 3 3" xfId="22752" xr:uid="{2A4F3FC7-5DCB-41FF-840C-2ED0E1EDF489}"/>
    <cellStyle name="40% - Accent2 3 3 4" xfId="9289" xr:uid="{B234EB9F-4AFE-41A2-A17D-ABC1D0F80875}"/>
    <cellStyle name="40% - Accent2 3 3 5" xfId="10088" xr:uid="{2C34922E-9F3D-43F0-A824-E5658D479531}"/>
    <cellStyle name="40% - Accent2 3 3 6" xfId="18535" xr:uid="{2A2A75B3-3B1B-40CC-92DA-AF4615B5FE5A}"/>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165F2E60-38BC-4E85-9B0E-E430851C0E7E}"/>
    <cellStyle name="40% - Accent2 3 4 2 2 3" xfId="25310" xr:uid="{F81233C6-E603-4433-BF22-D315F7F1A4ED}"/>
    <cellStyle name="40% - Accent2 3 4 2 3" xfId="12646" xr:uid="{633E1A75-6CE4-4B31-AA89-7F11952ACA62}"/>
    <cellStyle name="40% - Accent2 3 4 2 4" xfId="21093" xr:uid="{6A73ABAA-65A9-4EB4-BF44-C77A39567CF8}"/>
    <cellStyle name="40% - Accent2 3 4 3" xfId="5392" xr:uid="{00000000-0005-0000-0000-0000CE040000}"/>
    <cellStyle name="40% - Accent2 3 4 3 2" xfId="14718" xr:uid="{C672D333-5FA0-491A-A0AE-637CA8F8568E}"/>
    <cellStyle name="40% - Accent2 3 4 3 3" xfId="23165" xr:uid="{9F90C4F5-5C0E-4F9F-8012-C6AD758C3947}"/>
    <cellStyle name="40% - Accent2 3 4 4" xfId="10501" xr:uid="{B1206FD0-987F-4561-9576-46AB547ED214}"/>
    <cellStyle name="40% - Accent2 3 4 5" xfId="18948" xr:uid="{F777E0FB-F678-48F0-A505-306946C26B40}"/>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C6D55416-7E41-4F62-B362-82D46A781A9C}"/>
    <cellStyle name="40% - Accent2 3 5 2 2 3" xfId="25723" xr:uid="{620EB17F-A203-44AB-AC46-D17B9FAA7425}"/>
    <cellStyle name="40% - Accent2 3 5 2 3" xfId="13059" xr:uid="{F6F1DFD9-CBA5-459F-B23B-2D45FD68B7C2}"/>
    <cellStyle name="40% - Accent2 3 5 2 4" xfId="21506" xr:uid="{189A15B0-A089-4E65-BD7C-62311D41ED4D}"/>
    <cellStyle name="40% - Accent2 3 5 3" xfId="5805" xr:uid="{00000000-0005-0000-0000-0000D2040000}"/>
    <cellStyle name="40% - Accent2 3 5 3 2" xfId="15131" xr:uid="{AF037C85-5F6C-4DD6-9E3E-38FC3515B52A}"/>
    <cellStyle name="40% - Accent2 3 5 3 3" xfId="23578" xr:uid="{2D669414-9D2D-4BDE-873B-D79CBC2846A4}"/>
    <cellStyle name="40% - Accent2 3 5 4" xfId="10914" xr:uid="{F7D906CB-0855-476B-9526-EA32E4C1145A}"/>
    <cellStyle name="40% - Accent2 3 5 5" xfId="19361" xr:uid="{C3DC7B17-D242-4293-BE85-4DAF0FC1D9F4}"/>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9D225149-E2C8-4E9B-BFC1-E0BA40E0B659}"/>
    <cellStyle name="40% - Accent2 3 6 2 2 3" xfId="26136" xr:uid="{6777BD2F-A5C3-487C-A4CE-B8484FD3839A}"/>
    <cellStyle name="40% - Accent2 3 6 2 3" xfId="13472" xr:uid="{1ABF316C-F256-40B0-BB0B-E9C7859FE93F}"/>
    <cellStyle name="40% - Accent2 3 6 2 4" xfId="21919" xr:uid="{77957B39-41DA-4624-82C6-C8CC1969A26E}"/>
    <cellStyle name="40% - Accent2 3 6 3" xfId="6218" xr:uid="{00000000-0005-0000-0000-0000D6040000}"/>
    <cellStyle name="40% - Accent2 3 6 3 2" xfId="15544" xr:uid="{F2DEF45F-801C-4D25-8EDE-A228034005D6}"/>
    <cellStyle name="40% - Accent2 3 6 3 3" xfId="23991" xr:uid="{3E3B1234-9D8F-411A-A229-A61D8560B1D9}"/>
    <cellStyle name="40% - Accent2 3 6 4" xfId="11327" xr:uid="{073F5D28-FF49-48D3-9F3B-9BD65A26B6E5}"/>
    <cellStyle name="40% - Accent2 3 6 5" xfId="19774" xr:uid="{B1A72E14-EE50-479D-B435-13C83973BE98}"/>
    <cellStyle name="40% - Accent2 3 7" xfId="2325" xr:uid="{00000000-0005-0000-0000-0000D7040000}"/>
    <cellStyle name="40% - Accent2 3 7 2" xfId="6631" xr:uid="{00000000-0005-0000-0000-0000D8040000}"/>
    <cellStyle name="40% - Accent2 3 7 2 2" xfId="15957" xr:uid="{81415116-5CBD-4BAA-A8F1-A910850C9FBE}"/>
    <cellStyle name="40% - Accent2 3 7 2 3" xfId="24404" xr:uid="{9F6E56A6-18C8-44AA-B307-6F6C4166402A}"/>
    <cellStyle name="40% - Accent2 3 7 3" xfId="11740" xr:uid="{AE43088E-D4FB-4C3E-9A69-B6BAFD0DF472}"/>
    <cellStyle name="40% - Accent2 3 7 4" xfId="20187" xr:uid="{48F9B07A-52F6-4450-9A2E-2CFF4EA6F014}"/>
    <cellStyle name="40% - Accent2 3 8" xfId="4565" xr:uid="{00000000-0005-0000-0000-0000D9040000}"/>
    <cellStyle name="40% - Accent2 3 8 2" xfId="13891" xr:uid="{102D80D9-A2CD-4440-B88E-384CA9B985F8}"/>
    <cellStyle name="40% - Accent2 3 8 3" xfId="22338" xr:uid="{61C460BA-F768-4E8E-AF69-76429E4E8F98}"/>
    <cellStyle name="40% - Accent2 3 9" xfId="8864" xr:uid="{311EF031-8CA9-4ACC-8705-6D408E1B50DB}"/>
    <cellStyle name="40% - Accent2 4" xfId="64" xr:uid="{00000000-0005-0000-0000-0000DA040000}"/>
    <cellStyle name="40% - Accent2 4 10" xfId="18123" xr:uid="{818FA095-C35E-4871-AE5F-5E4FBFA2B33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49822CE3-361A-4F0C-B8A6-72A2499937FB}"/>
    <cellStyle name="40% - Accent2 4 2 2 2 3" xfId="24899" xr:uid="{51A8EDCE-E78D-4505-BA85-05A1DAEBE02B}"/>
    <cellStyle name="40% - Accent2 4 2 2 3" xfId="12235" xr:uid="{70AF7720-326E-4372-BB6A-495B245DE231}"/>
    <cellStyle name="40% - Accent2 4 2 2 4" xfId="20682" xr:uid="{8161E3D8-5C9B-4D97-B1E2-371DFB3C4104}"/>
    <cellStyle name="40% - Accent2 4 2 3" xfId="4981" xr:uid="{00000000-0005-0000-0000-0000DE040000}"/>
    <cellStyle name="40% - Accent2 4 2 3 2" xfId="14307" xr:uid="{42C84999-25C2-4CFC-89B4-DF2562219C3B}"/>
    <cellStyle name="40% - Accent2 4 2 3 3" xfId="22754" xr:uid="{48E5401B-A558-4F1A-944C-82F5D8A6C424}"/>
    <cellStyle name="40% - Accent2 4 2 4" xfId="9375" xr:uid="{E0F8B4F7-419E-40A5-89E1-F3F0DF6ADFF8}"/>
    <cellStyle name="40% - Accent2 4 2 5" xfId="10090" xr:uid="{669F8038-3312-4EE4-B198-DBCBD0EF4A8A}"/>
    <cellStyle name="40% - Accent2 4 2 6" xfId="18537" xr:uid="{2A8A1223-0BEF-4878-99CF-2706F3490BAF}"/>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456920D2-DFB7-46CB-81CB-3E1AC5DAFF9B}"/>
    <cellStyle name="40% - Accent2 4 3 2 2 3" xfId="25312" xr:uid="{43A8E838-A27D-4AE3-92EA-1FC911911A0A}"/>
    <cellStyle name="40% - Accent2 4 3 2 3" xfId="12648" xr:uid="{4D5507B2-57AE-435E-9BE0-384E4501BB7D}"/>
    <cellStyle name="40% - Accent2 4 3 2 4" xfId="21095" xr:uid="{7CC8C66A-1A0F-48C2-82C1-313907FB8BA7}"/>
    <cellStyle name="40% - Accent2 4 3 3" xfId="5394" xr:uid="{00000000-0005-0000-0000-0000E2040000}"/>
    <cellStyle name="40% - Accent2 4 3 3 2" xfId="14720" xr:uid="{59B37296-1C02-4ADB-A679-94EBA0C62233}"/>
    <cellStyle name="40% - Accent2 4 3 3 3" xfId="23167" xr:uid="{4FFE1AFB-AB2F-45B5-BA97-088DB5D287B6}"/>
    <cellStyle name="40% - Accent2 4 3 4" xfId="10503" xr:uid="{ED14C7DE-49E4-48CD-A979-53ACEC93F7A2}"/>
    <cellStyle name="40% - Accent2 4 3 5" xfId="18950" xr:uid="{6E711AB3-253A-48D5-969A-97D1A7FEC63A}"/>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A1D5C30E-1D4C-4185-B96F-0DF28EB41C30}"/>
    <cellStyle name="40% - Accent2 4 4 2 2 3" xfId="25725" xr:uid="{F077A33A-D09F-4D3D-9E4F-D0F740EFDDF1}"/>
    <cellStyle name="40% - Accent2 4 4 2 3" xfId="13061" xr:uid="{13FF1712-B3D8-4F6A-991D-140FCCBADB51}"/>
    <cellStyle name="40% - Accent2 4 4 2 4" xfId="21508" xr:uid="{F9AABA7A-BC90-4D03-8110-DB0A87D49E2A}"/>
    <cellStyle name="40% - Accent2 4 4 3" xfId="5807" xr:uid="{00000000-0005-0000-0000-0000E6040000}"/>
    <cellStyle name="40% - Accent2 4 4 3 2" xfId="15133" xr:uid="{81732A3E-D33A-4DD1-8074-0529DCFD8CD8}"/>
    <cellStyle name="40% - Accent2 4 4 3 3" xfId="23580" xr:uid="{4F239EFB-E6F8-4FB4-A11A-64172EE6E56C}"/>
    <cellStyle name="40% - Accent2 4 4 4" xfId="10916" xr:uid="{9F84C60C-D80D-410A-8127-44E007360C6D}"/>
    <cellStyle name="40% - Accent2 4 4 5" xfId="19363" xr:uid="{53A5AB84-B0D0-4486-909A-FD02C79FEAB5}"/>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356327C0-B0E5-4110-8690-D0012F5882E0}"/>
    <cellStyle name="40% - Accent2 4 5 2 2 3" xfId="26138" xr:uid="{6D5EA6E7-2AB2-4317-BBAA-4ADDF99FC1FA}"/>
    <cellStyle name="40% - Accent2 4 5 2 3" xfId="13474" xr:uid="{D273B701-54A8-4AA2-9333-C4092A98375D}"/>
    <cellStyle name="40% - Accent2 4 5 2 4" xfId="21921" xr:uid="{628A68E4-498B-49A6-BC44-F743C1DDF700}"/>
    <cellStyle name="40% - Accent2 4 5 3" xfId="6220" xr:uid="{00000000-0005-0000-0000-0000EA040000}"/>
    <cellStyle name="40% - Accent2 4 5 3 2" xfId="15546" xr:uid="{4A4EB878-9770-473C-9563-32C6517D3422}"/>
    <cellStyle name="40% - Accent2 4 5 3 3" xfId="23993" xr:uid="{1FAD1732-5428-4685-A74B-8FB5B8125D0B}"/>
    <cellStyle name="40% - Accent2 4 5 4" xfId="11329" xr:uid="{18629C5C-8E5E-4CB1-8A5F-C94782D6380C}"/>
    <cellStyle name="40% - Accent2 4 5 5" xfId="19776" xr:uid="{B906217E-2B33-4981-9FED-6A2F09E89C19}"/>
    <cellStyle name="40% - Accent2 4 6" xfId="2327" xr:uid="{00000000-0005-0000-0000-0000EB040000}"/>
    <cellStyle name="40% - Accent2 4 6 2" xfId="6633" xr:uid="{00000000-0005-0000-0000-0000EC040000}"/>
    <cellStyle name="40% - Accent2 4 6 2 2" xfId="15959" xr:uid="{3FD76D4B-8B68-4F08-AE54-DB92EB8BAB31}"/>
    <cellStyle name="40% - Accent2 4 6 2 3" xfId="24406" xr:uid="{8AB67F37-3365-45B5-A179-BC06CCC1D32C}"/>
    <cellStyle name="40% - Accent2 4 6 3" xfId="11742" xr:uid="{63612AB0-6383-42CA-A761-6F2891FBFDC5}"/>
    <cellStyle name="40% - Accent2 4 6 4" xfId="20189" xr:uid="{AC0B21A4-152C-466E-9826-411B0ECEE750}"/>
    <cellStyle name="40% - Accent2 4 7" xfId="4567" xr:uid="{00000000-0005-0000-0000-0000ED040000}"/>
    <cellStyle name="40% - Accent2 4 7 2" xfId="13893" xr:uid="{A7543EA4-0E18-41EB-AAD4-0090CDF17E05}"/>
    <cellStyle name="40% - Accent2 4 7 3" xfId="22340" xr:uid="{89F32109-8EB7-48C2-9F44-878C7162DF17}"/>
    <cellStyle name="40% - Accent2 4 8" xfId="8950" xr:uid="{02FCA414-0598-4779-8636-7B176A3552C0}"/>
    <cellStyle name="40% - Accent2 4 9" xfId="9676" xr:uid="{7465C46B-91B0-487F-8F6F-4EB39D12918E}"/>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94AEB94C-4DA0-49C8-8751-9E3AB567DFEA}"/>
    <cellStyle name="40% - Accent2 5 2 2 3" xfId="24892" xr:uid="{045B1E1E-A23D-4AEF-8596-49D1B565D861}"/>
    <cellStyle name="40% - Accent2 5 2 3" xfId="12228" xr:uid="{1E58ABF9-7A96-48CF-91E6-01BFE8058562}"/>
    <cellStyle name="40% - Accent2 5 2 4" xfId="20675" xr:uid="{19F1A6FB-3DFA-4C2A-8DDE-CCE20F75B982}"/>
    <cellStyle name="40% - Accent2 5 3" xfId="4974" xr:uid="{00000000-0005-0000-0000-0000F1040000}"/>
    <cellStyle name="40% - Accent2 5 3 2" xfId="14300" xr:uid="{50C5F914-591F-4FB5-96E0-C03FA7EE64FB}"/>
    <cellStyle name="40% - Accent2 5 3 3" xfId="22747" xr:uid="{EA7B9172-DED1-4606-B9AC-7C5DDB948966}"/>
    <cellStyle name="40% - Accent2 5 4" xfId="9183" xr:uid="{071EDB8E-9FD1-4063-BCEF-70B734E5ECF1}"/>
    <cellStyle name="40% - Accent2 5 5" xfId="10083" xr:uid="{B873F268-AF73-439D-8584-400B806C6ED0}"/>
    <cellStyle name="40% - Accent2 5 6" xfId="18530" xr:uid="{CF4677D6-5197-44E3-80B3-5F63222E7074}"/>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631BC478-6637-4A13-B8D2-EF048DD17280}"/>
    <cellStyle name="40% - Accent2 6 2 2 3" xfId="25305" xr:uid="{786C5C1D-9CF2-41EB-BA6A-9560023D339C}"/>
    <cellStyle name="40% - Accent2 6 2 3" xfId="12641" xr:uid="{DBD240F5-3094-4032-89BD-20100BEDF03A}"/>
    <cellStyle name="40% - Accent2 6 2 4" xfId="21088" xr:uid="{41F990F6-7A92-4FA3-9FCD-E73F9BEEC3D0}"/>
    <cellStyle name="40% - Accent2 6 3" xfId="5387" xr:uid="{00000000-0005-0000-0000-0000F5040000}"/>
    <cellStyle name="40% - Accent2 6 3 2" xfId="14713" xr:uid="{9B2A333A-03EC-48CD-9CCE-5FDC1CB82EF6}"/>
    <cellStyle name="40% - Accent2 6 3 3" xfId="23160" xr:uid="{86C2A74D-BE51-4A67-9DDD-5F49243028AE}"/>
    <cellStyle name="40% - Accent2 6 4" xfId="10496" xr:uid="{A476B003-02E5-46E7-82A3-0B1275C78AD6}"/>
    <cellStyle name="40% - Accent2 6 5" xfId="18943" xr:uid="{7A045F4F-F8FD-4809-8A7D-ABC30B189E4E}"/>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B87DE6B3-59C7-4F52-9403-FA88070AFAD1}"/>
    <cellStyle name="40% - Accent2 7 2 2 3" xfId="25718" xr:uid="{C34C6E4D-0458-47E9-A262-BD53126BA556}"/>
    <cellStyle name="40% - Accent2 7 2 3" xfId="13054" xr:uid="{32EC6AA3-649D-4B56-9379-E588995AD40D}"/>
    <cellStyle name="40% - Accent2 7 2 4" xfId="21501" xr:uid="{0023E41B-299B-4A07-8BF8-C8A6A8A54BA5}"/>
    <cellStyle name="40% - Accent2 7 3" xfId="5800" xr:uid="{00000000-0005-0000-0000-0000F9040000}"/>
    <cellStyle name="40% - Accent2 7 3 2" xfId="15126" xr:uid="{D8DA96EA-238D-45D6-919C-6BAB4A36388A}"/>
    <cellStyle name="40% - Accent2 7 3 3" xfId="23573" xr:uid="{786D8EBC-9FBA-49CC-B22C-4AE8718F8485}"/>
    <cellStyle name="40% - Accent2 7 4" xfId="10909" xr:uid="{36A468B3-1249-4276-B1A2-69D4827D7E0A}"/>
    <cellStyle name="40% - Accent2 7 5" xfId="19356" xr:uid="{99188AE1-0643-4294-9FB5-55B62EBACB83}"/>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65930936-0CB3-42B8-AB8E-A9949AECC169}"/>
    <cellStyle name="40% - Accent2 8 2 2 3" xfId="26131" xr:uid="{258D5EBA-9BE9-40E5-92DB-8F5E62446DA9}"/>
    <cellStyle name="40% - Accent2 8 2 3" xfId="13467" xr:uid="{6CAD39E8-5A49-4277-82B5-D2484BF2C4F6}"/>
    <cellStyle name="40% - Accent2 8 2 4" xfId="21914" xr:uid="{B968D2ED-52F1-4069-8945-3D2B8685A91D}"/>
    <cellStyle name="40% - Accent2 8 3" xfId="6213" xr:uid="{00000000-0005-0000-0000-0000FD040000}"/>
    <cellStyle name="40% - Accent2 8 3 2" xfId="15539" xr:uid="{381E6577-32A6-40B1-B947-56AC523797AC}"/>
    <cellStyle name="40% - Accent2 8 3 3" xfId="23986" xr:uid="{8B47A031-04A1-4203-822E-7B33FA2AC7EF}"/>
    <cellStyle name="40% - Accent2 8 4" xfId="11322" xr:uid="{5F0126AF-8870-46CE-9222-25D2C5CF4ACF}"/>
    <cellStyle name="40% - Accent2 8 5" xfId="19769" xr:uid="{523F32B9-79DF-4EB8-9587-708D92D83FF3}"/>
    <cellStyle name="40% - Accent2 9" xfId="2320" xr:uid="{00000000-0005-0000-0000-0000FE040000}"/>
    <cellStyle name="40% - Accent2 9 2" xfId="6626" xr:uid="{00000000-0005-0000-0000-0000FF040000}"/>
    <cellStyle name="40% - Accent2 9 2 2" xfId="15952" xr:uid="{B5DF0395-5A6E-4316-962A-01D7A67CFF8E}"/>
    <cellStyle name="40% - Accent2 9 2 3" xfId="24399" xr:uid="{F91A8919-1DC6-48A4-AC5C-AB1A90F9D01B}"/>
    <cellStyle name="40% - Accent2 9 3" xfId="11735" xr:uid="{018404D8-2DA0-4BB9-A8A9-7E76F65EE773}"/>
    <cellStyle name="40% - Accent2 9 4" xfId="20182" xr:uid="{FD0B38F7-B6D2-4127-8629-04FA07C9C072}"/>
    <cellStyle name="40% - Accent3" xfId="65" builtinId="39" customBuiltin="1"/>
    <cellStyle name="40% - Accent3 10" xfId="4568" xr:uid="{00000000-0005-0000-0000-000001050000}"/>
    <cellStyle name="40% - Accent3 10 2" xfId="13894" xr:uid="{A4DFA5E1-B334-4F7E-8ACC-95E19248CFCE}"/>
    <cellStyle name="40% - Accent3 10 3" xfId="22341" xr:uid="{97A20855-3D70-4D10-AA62-0C49D2BC2437}"/>
    <cellStyle name="40% - Accent3 11" xfId="8763" xr:uid="{CEFBFA85-5B68-4AEB-BF0D-8E604938B05F}"/>
    <cellStyle name="40% - Accent3 12" xfId="9677" xr:uid="{347FE958-1017-4F6A-86F4-2954B5BEF065}"/>
    <cellStyle name="40% - Accent3 13" xfId="18124" xr:uid="{263DDE98-BE2F-4DA9-B382-D53BF5EF7357}"/>
    <cellStyle name="40% - Accent3 2" xfId="66" xr:uid="{00000000-0005-0000-0000-000002050000}"/>
    <cellStyle name="40% - Accent3 2 10" xfId="8800" xr:uid="{00FF2AAD-7D96-45B5-8981-0BB923A3505B}"/>
    <cellStyle name="40% - Accent3 2 11" xfId="9678" xr:uid="{DA384890-17E2-48C9-864B-0AC78D5B9A3B}"/>
    <cellStyle name="40% - Accent3 2 12" xfId="18125" xr:uid="{88B9336D-9ADB-46EE-92F9-9B2F68022EC8}"/>
    <cellStyle name="40% - Accent3 2 2" xfId="67" xr:uid="{00000000-0005-0000-0000-000003050000}"/>
    <cellStyle name="40% - Accent3 2 2 10" xfId="9679" xr:uid="{20A40536-3CBF-44F5-98A4-8267B1B8798C}"/>
    <cellStyle name="40% - Accent3 2 2 11" xfId="18126" xr:uid="{6CC36394-3704-4BB8-9A55-8E757A78B0CD}"/>
    <cellStyle name="40% - Accent3 2 2 2" xfId="68" xr:uid="{00000000-0005-0000-0000-000004050000}"/>
    <cellStyle name="40% - Accent3 2 2 2 10" xfId="18127" xr:uid="{517CB636-2094-4C28-83EE-972912B2B095}"/>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17CF604A-2B27-411D-87AF-2FAB3DEF8FC6}"/>
    <cellStyle name="40% - Accent3 2 2 2 2 2 2 3" xfId="24903" xr:uid="{8EB42970-F643-4928-B410-75F7A91AD000}"/>
    <cellStyle name="40% - Accent3 2 2 2 2 2 3" xfId="12239" xr:uid="{D2BA7192-2E0A-43D4-B244-5FC8D32E0C3F}"/>
    <cellStyle name="40% - Accent3 2 2 2 2 2 4" xfId="20686" xr:uid="{47120F8E-52C1-4FC7-99AC-80DD11FCBC2A}"/>
    <cellStyle name="40% - Accent3 2 2 2 2 3" xfId="4985" xr:uid="{00000000-0005-0000-0000-000008050000}"/>
    <cellStyle name="40% - Accent3 2 2 2 2 3 2" xfId="14311" xr:uid="{E4EAD7F7-410C-48F3-A203-EFCE332CEF58}"/>
    <cellStyle name="40% - Accent3 2 2 2 2 3 3" xfId="22758" xr:uid="{A48C545A-9BE6-4533-8683-CA98BF635D9E}"/>
    <cellStyle name="40% - Accent3 2 2 2 2 4" xfId="9535" xr:uid="{3AC66435-D4C7-42EF-A799-3DC81A57BDF4}"/>
    <cellStyle name="40% - Accent3 2 2 2 2 5" xfId="10094" xr:uid="{8D17E7BC-924A-45DD-A194-5AE64B33EACF}"/>
    <cellStyle name="40% - Accent3 2 2 2 2 6" xfId="18541" xr:uid="{E5E5CC5F-2FDE-4326-9A3E-5D8E6CDC845A}"/>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AFE94068-7E03-4927-847D-13FF89A1080B}"/>
    <cellStyle name="40% - Accent3 2 2 2 3 2 2 3" xfId="25316" xr:uid="{4B98FC5E-AD4A-448B-A3D3-D4309B5DBA2E}"/>
    <cellStyle name="40% - Accent3 2 2 2 3 2 3" xfId="12652" xr:uid="{3D9C766F-0668-4FE3-9B63-03AF1313FF33}"/>
    <cellStyle name="40% - Accent3 2 2 2 3 2 4" xfId="21099" xr:uid="{EA3217FE-6A03-4EC8-AC57-1BE217FE0ACF}"/>
    <cellStyle name="40% - Accent3 2 2 2 3 3" xfId="5398" xr:uid="{00000000-0005-0000-0000-00000C050000}"/>
    <cellStyle name="40% - Accent3 2 2 2 3 3 2" xfId="14724" xr:uid="{22DFDF3D-1E1B-443B-B07D-0D034C7D5098}"/>
    <cellStyle name="40% - Accent3 2 2 2 3 3 3" xfId="23171" xr:uid="{C567B691-99B4-4C72-8A06-74AA318019C0}"/>
    <cellStyle name="40% - Accent3 2 2 2 3 4" xfId="10507" xr:uid="{8C3F0606-05EE-42ED-8AD0-EBC4E02CB664}"/>
    <cellStyle name="40% - Accent3 2 2 2 3 5" xfId="18954" xr:uid="{27A5D6BD-64B5-4611-A9F2-30E783E0B5B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568D5480-300D-4D0C-BFBB-780509E27DBF}"/>
    <cellStyle name="40% - Accent3 2 2 2 4 2 2 3" xfId="25729" xr:uid="{0714FF34-583D-4A28-A3D9-1F5273292D93}"/>
    <cellStyle name="40% - Accent3 2 2 2 4 2 3" xfId="13065" xr:uid="{7F87D604-12DB-4435-93BF-6F1C044CD4F2}"/>
    <cellStyle name="40% - Accent3 2 2 2 4 2 4" xfId="21512" xr:uid="{6ECD0832-2203-432A-B094-0472E61DD816}"/>
    <cellStyle name="40% - Accent3 2 2 2 4 3" xfId="5811" xr:uid="{00000000-0005-0000-0000-000010050000}"/>
    <cellStyle name="40% - Accent3 2 2 2 4 3 2" xfId="15137" xr:uid="{BB4B4489-6828-44EB-9D4D-E67CA2EA8974}"/>
    <cellStyle name="40% - Accent3 2 2 2 4 3 3" xfId="23584" xr:uid="{C650147E-4BF6-4F0C-9E4D-5ECC9BEA8770}"/>
    <cellStyle name="40% - Accent3 2 2 2 4 4" xfId="10920" xr:uid="{67CAFE87-B800-4B58-9CC7-801DFDB616C6}"/>
    <cellStyle name="40% - Accent3 2 2 2 4 5" xfId="19367" xr:uid="{80E3F030-9DBB-4F46-B835-EE9C665C0039}"/>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65C29B35-6D85-443F-88FB-8F6DCAF3B503}"/>
    <cellStyle name="40% - Accent3 2 2 2 5 2 2 3" xfId="26142" xr:uid="{7C4D6A56-8677-466B-992A-8F2D33D993EA}"/>
    <cellStyle name="40% - Accent3 2 2 2 5 2 3" xfId="13478" xr:uid="{BC995C8A-6468-4CEA-93CB-C3EC628C6DEF}"/>
    <cellStyle name="40% - Accent3 2 2 2 5 2 4" xfId="21925" xr:uid="{60487A13-23F1-40AF-A312-0EB5269DDF76}"/>
    <cellStyle name="40% - Accent3 2 2 2 5 3" xfId="6224" xr:uid="{00000000-0005-0000-0000-000014050000}"/>
    <cellStyle name="40% - Accent3 2 2 2 5 3 2" xfId="15550" xr:uid="{B91E0E3D-3178-409A-8F0E-1CC29F487D2B}"/>
    <cellStyle name="40% - Accent3 2 2 2 5 3 3" xfId="23997" xr:uid="{96FE7266-55E3-42BF-9BD7-089C8D138BDD}"/>
    <cellStyle name="40% - Accent3 2 2 2 5 4" xfId="11333" xr:uid="{84D48B1E-952D-4ABD-80A2-F620EA483391}"/>
    <cellStyle name="40% - Accent3 2 2 2 5 5" xfId="19780" xr:uid="{43AE7F70-2FC5-46C3-A7E5-82718712C020}"/>
    <cellStyle name="40% - Accent3 2 2 2 6" xfId="2331" xr:uid="{00000000-0005-0000-0000-000015050000}"/>
    <cellStyle name="40% - Accent3 2 2 2 6 2" xfId="6637" xr:uid="{00000000-0005-0000-0000-000016050000}"/>
    <cellStyle name="40% - Accent3 2 2 2 6 2 2" xfId="15963" xr:uid="{6EA0AB80-7E5A-47D8-A1DC-BB10470126FF}"/>
    <cellStyle name="40% - Accent3 2 2 2 6 2 3" xfId="24410" xr:uid="{69C9C9DF-7D07-43E7-999F-1CB512CDF823}"/>
    <cellStyle name="40% - Accent3 2 2 2 6 3" xfId="11746" xr:uid="{38F72DF5-BD46-4ADD-BC11-EB3B56EC359E}"/>
    <cellStyle name="40% - Accent3 2 2 2 6 4" xfId="20193" xr:uid="{29C567BF-4B39-4DA7-B5CE-4FEFE1046E8D}"/>
    <cellStyle name="40% - Accent3 2 2 2 7" xfId="4571" xr:uid="{00000000-0005-0000-0000-000017050000}"/>
    <cellStyle name="40% - Accent3 2 2 2 7 2" xfId="13897" xr:uid="{994D9EAC-8EF8-4B2D-9BD6-87228F18484A}"/>
    <cellStyle name="40% - Accent3 2 2 2 7 3" xfId="22344" xr:uid="{84F26E1F-81E1-420F-8697-22B4F7F19EC6}"/>
    <cellStyle name="40% - Accent3 2 2 2 8" xfId="9110" xr:uid="{E41CBEF9-86F8-44B9-895F-532A7BDC9A2A}"/>
    <cellStyle name="40% - Accent3 2 2 2 9" xfId="9680" xr:uid="{28BCBB33-A9D3-414D-8C55-090ABEB55756}"/>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DBFE5AD8-880B-4CB6-ABE3-E6DFF45B607E}"/>
    <cellStyle name="40% - Accent3 2 2 3 2 2 3" xfId="24902" xr:uid="{56407CEC-C586-476A-B1FA-B5DAD43347B6}"/>
    <cellStyle name="40% - Accent3 2 2 3 2 3" xfId="12238" xr:uid="{F8B74D34-2E46-4B2E-AACF-06A5C02AD0C9}"/>
    <cellStyle name="40% - Accent3 2 2 3 2 4" xfId="20685" xr:uid="{06FB2A8B-BBB0-4B60-B262-F7F79AB85CD7}"/>
    <cellStyle name="40% - Accent3 2 2 3 3" xfId="4984" xr:uid="{00000000-0005-0000-0000-00001B050000}"/>
    <cellStyle name="40% - Accent3 2 2 3 3 2" xfId="14310" xr:uid="{10F7B6A2-2C7F-417D-B76D-78E75CBF2853}"/>
    <cellStyle name="40% - Accent3 2 2 3 3 3" xfId="22757" xr:uid="{DC7C7A24-32C5-4111-A647-C8A290FB0A44}"/>
    <cellStyle name="40% - Accent3 2 2 3 4" xfId="9328" xr:uid="{1DAEB9B9-01CE-426D-A8F1-CE08999D7264}"/>
    <cellStyle name="40% - Accent3 2 2 3 5" xfId="10093" xr:uid="{EA259BBA-5725-4F5C-9C16-2F4194134A6A}"/>
    <cellStyle name="40% - Accent3 2 2 3 6" xfId="18540" xr:uid="{B48DA72D-F1C3-4A1C-B4E2-043674641103}"/>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0ECB3978-1BC2-4448-8514-DEA41C060682}"/>
    <cellStyle name="40% - Accent3 2 2 4 2 2 3" xfId="25315" xr:uid="{2AD7F18B-F251-4111-866E-98AD879575DC}"/>
    <cellStyle name="40% - Accent3 2 2 4 2 3" xfId="12651" xr:uid="{DB527C2F-AD48-4602-9F71-6CFBE5196E08}"/>
    <cellStyle name="40% - Accent3 2 2 4 2 4" xfId="21098" xr:uid="{B2306501-63AB-4965-B7FA-BA81B7138E7B}"/>
    <cellStyle name="40% - Accent3 2 2 4 3" xfId="5397" xr:uid="{00000000-0005-0000-0000-00001F050000}"/>
    <cellStyle name="40% - Accent3 2 2 4 3 2" xfId="14723" xr:uid="{2E11AEDB-5F26-453A-AA4E-A1C9F8D5AEE6}"/>
    <cellStyle name="40% - Accent3 2 2 4 3 3" xfId="23170" xr:uid="{52C149C1-EF53-470F-A03F-1D7E72A0D84F}"/>
    <cellStyle name="40% - Accent3 2 2 4 4" xfId="10506" xr:uid="{8E9D1258-EAEE-4847-B239-C7EAD296656B}"/>
    <cellStyle name="40% - Accent3 2 2 4 5" xfId="18953" xr:uid="{2C3E0FEC-8A86-4610-AB48-1B756428F6EA}"/>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AAA4BF93-800A-41E9-BA68-22A7F2E30F38}"/>
    <cellStyle name="40% - Accent3 2 2 5 2 2 3" xfId="25728" xr:uid="{DF7D5C43-989B-47EC-A88A-196052DD2C7A}"/>
    <cellStyle name="40% - Accent3 2 2 5 2 3" xfId="13064" xr:uid="{83FEC488-62C1-4375-B7DF-3493947878E1}"/>
    <cellStyle name="40% - Accent3 2 2 5 2 4" xfId="21511" xr:uid="{D9096CDB-A7E2-44F0-9024-34EDB7E32CC3}"/>
    <cellStyle name="40% - Accent3 2 2 5 3" xfId="5810" xr:uid="{00000000-0005-0000-0000-000023050000}"/>
    <cellStyle name="40% - Accent3 2 2 5 3 2" xfId="15136" xr:uid="{FD8F248A-EA06-4ABF-9920-9AC725AF46D1}"/>
    <cellStyle name="40% - Accent3 2 2 5 3 3" xfId="23583" xr:uid="{D5254C89-B730-4FBE-A999-CBF0587313E7}"/>
    <cellStyle name="40% - Accent3 2 2 5 4" xfId="10919" xr:uid="{15250B5B-D26D-41EA-B73F-D78068B87438}"/>
    <cellStyle name="40% - Accent3 2 2 5 5" xfId="19366" xr:uid="{496886BE-1DE9-4780-8633-743B2E8EF46B}"/>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0FA34F7F-A3CF-451E-8918-D0DCE12FC526}"/>
    <cellStyle name="40% - Accent3 2 2 6 2 2 3" xfId="26141" xr:uid="{DC0F29C8-F476-4543-9245-87444FD4D3B2}"/>
    <cellStyle name="40% - Accent3 2 2 6 2 3" xfId="13477" xr:uid="{4FFB91AE-680E-4C34-9BB4-B4ED264B16DF}"/>
    <cellStyle name="40% - Accent3 2 2 6 2 4" xfId="21924" xr:uid="{C48AB37A-7C85-40B6-8658-BDE5E54266BD}"/>
    <cellStyle name="40% - Accent3 2 2 6 3" xfId="6223" xr:uid="{00000000-0005-0000-0000-000027050000}"/>
    <cellStyle name="40% - Accent3 2 2 6 3 2" xfId="15549" xr:uid="{2C0C10F6-5940-4FC9-B3FE-5DEE7AB060EB}"/>
    <cellStyle name="40% - Accent3 2 2 6 3 3" xfId="23996" xr:uid="{49A97386-791A-472E-B8A7-50A41A49F82A}"/>
    <cellStyle name="40% - Accent3 2 2 6 4" xfId="11332" xr:uid="{73DFF2A9-CE99-4FF4-8EDE-073CB1CA98EF}"/>
    <cellStyle name="40% - Accent3 2 2 6 5" xfId="19779" xr:uid="{1E96B65D-8285-447F-A654-EC689EFEE580}"/>
    <cellStyle name="40% - Accent3 2 2 7" xfId="2330" xr:uid="{00000000-0005-0000-0000-000028050000}"/>
    <cellStyle name="40% - Accent3 2 2 7 2" xfId="6636" xr:uid="{00000000-0005-0000-0000-000029050000}"/>
    <cellStyle name="40% - Accent3 2 2 7 2 2" xfId="15962" xr:uid="{60AD9F97-759E-44BA-8F49-FAA41F469150}"/>
    <cellStyle name="40% - Accent3 2 2 7 2 3" xfId="24409" xr:uid="{57F6C7CE-AEB0-4070-8E0C-334BDF2A53C5}"/>
    <cellStyle name="40% - Accent3 2 2 7 3" xfId="11745" xr:uid="{391A0460-B676-4879-9DF5-C4BF8769ED1A}"/>
    <cellStyle name="40% - Accent3 2 2 7 4" xfId="20192" xr:uid="{49D828B6-758E-4265-A2E0-1777B688230C}"/>
    <cellStyle name="40% - Accent3 2 2 8" xfId="4570" xr:uid="{00000000-0005-0000-0000-00002A050000}"/>
    <cellStyle name="40% - Accent3 2 2 8 2" xfId="13896" xr:uid="{CCC42725-EA1A-4929-948F-2EDF51E91F10}"/>
    <cellStyle name="40% - Accent3 2 2 8 3" xfId="22343" xr:uid="{F35D2807-AACD-43F1-9E47-97488AC0E6D9}"/>
    <cellStyle name="40% - Accent3 2 2 9" xfId="8903" xr:uid="{D9C85917-26AE-466C-8B98-905BCDA9E329}"/>
    <cellStyle name="40% - Accent3 2 3" xfId="69" xr:uid="{00000000-0005-0000-0000-00002B050000}"/>
    <cellStyle name="40% - Accent3 2 3 10" xfId="18128" xr:uid="{50028E13-9BA1-4A11-961B-95C89EBD3CC8}"/>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07E9222F-B6F6-4B75-8521-C160F3660804}"/>
    <cellStyle name="40% - Accent3 2 3 2 2 2 3" xfId="24904" xr:uid="{BCEAE322-37A2-4698-8A0F-D58E41E45D1F}"/>
    <cellStyle name="40% - Accent3 2 3 2 2 3" xfId="12240" xr:uid="{F4D24522-98EB-4F5B-A20F-2AD0446CE130}"/>
    <cellStyle name="40% - Accent3 2 3 2 2 4" xfId="20687" xr:uid="{AB170672-2581-4012-A543-8EFDD7AFB299}"/>
    <cellStyle name="40% - Accent3 2 3 2 3" xfId="4986" xr:uid="{00000000-0005-0000-0000-00002F050000}"/>
    <cellStyle name="40% - Accent3 2 3 2 3 2" xfId="14312" xr:uid="{B01E6987-7ECF-4AC6-A4FF-011CD645BB3A}"/>
    <cellStyle name="40% - Accent3 2 3 2 3 3" xfId="22759" xr:uid="{BA65B12E-7AB0-4DA8-BD01-B1804B1B99DA}"/>
    <cellStyle name="40% - Accent3 2 3 2 4" xfId="9432" xr:uid="{54D6848B-0200-4F42-820D-262A8F9A2C0F}"/>
    <cellStyle name="40% - Accent3 2 3 2 5" xfId="10095" xr:uid="{A2437871-A642-4DDA-ACA1-78692C770343}"/>
    <cellStyle name="40% - Accent3 2 3 2 6" xfId="18542" xr:uid="{81BDE3CC-893B-48E9-A2E0-8EE21159B13A}"/>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C4C49D30-6A90-4B51-84D8-EA5DCA269070}"/>
    <cellStyle name="40% - Accent3 2 3 3 2 2 3" xfId="25317" xr:uid="{8FC4530F-E9DB-435A-8422-69F651D5C235}"/>
    <cellStyle name="40% - Accent3 2 3 3 2 3" xfId="12653" xr:uid="{3E99D808-9DED-428C-99CC-B042529973DE}"/>
    <cellStyle name="40% - Accent3 2 3 3 2 4" xfId="21100" xr:uid="{42B09BA3-8F0C-49C6-A338-CDB1C814BA6F}"/>
    <cellStyle name="40% - Accent3 2 3 3 3" xfId="5399" xr:uid="{00000000-0005-0000-0000-000033050000}"/>
    <cellStyle name="40% - Accent3 2 3 3 3 2" xfId="14725" xr:uid="{57DDB7EC-408A-43E5-8E7B-98989104D35A}"/>
    <cellStyle name="40% - Accent3 2 3 3 3 3" xfId="23172" xr:uid="{124F08CB-D9CD-4291-BAF5-8FF1F11C6A72}"/>
    <cellStyle name="40% - Accent3 2 3 3 4" xfId="10508" xr:uid="{0E76DD2A-448C-45DC-8DBE-30AC60C79353}"/>
    <cellStyle name="40% - Accent3 2 3 3 5" xfId="18955" xr:uid="{E0037A56-BB7E-4132-B890-285D2428C2A5}"/>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1F936562-129A-4ECB-8133-EE15014D4C54}"/>
    <cellStyle name="40% - Accent3 2 3 4 2 2 3" xfId="25730" xr:uid="{2A776656-CEC6-4D42-9A96-635F6B896B66}"/>
    <cellStyle name="40% - Accent3 2 3 4 2 3" xfId="13066" xr:uid="{2FCF3484-14FB-4FA6-A3C9-F0AD02FBE18A}"/>
    <cellStyle name="40% - Accent3 2 3 4 2 4" xfId="21513" xr:uid="{A34FDB60-B901-429D-9557-A55CCE4334EA}"/>
    <cellStyle name="40% - Accent3 2 3 4 3" xfId="5812" xr:uid="{00000000-0005-0000-0000-000037050000}"/>
    <cellStyle name="40% - Accent3 2 3 4 3 2" xfId="15138" xr:uid="{062E9BF2-C928-4F63-B6ED-22F5BDD62E5C}"/>
    <cellStyle name="40% - Accent3 2 3 4 3 3" xfId="23585" xr:uid="{1C9EB3A6-B4F8-4FB3-998A-41042F149EF2}"/>
    <cellStyle name="40% - Accent3 2 3 4 4" xfId="10921" xr:uid="{597ED5B4-E29F-4141-847C-C4E2B0398BF8}"/>
    <cellStyle name="40% - Accent3 2 3 4 5" xfId="19368" xr:uid="{E24A38CC-1068-45A0-B2AA-351F7A9C6903}"/>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7E327350-9593-4BB2-A4DD-CF07D598DF54}"/>
    <cellStyle name="40% - Accent3 2 3 5 2 2 3" xfId="26143" xr:uid="{E5FAA294-516B-4C60-B08E-403C56838BB0}"/>
    <cellStyle name="40% - Accent3 2 3 5 2 3" xfId="13479" xr:uid="{E4E9B3DD-B31A-46DD-A9B2-A38FE0CCDF75}"/>
    <cellStyle name="40% - Accent3 2 3 5 2 4" xfId="21926" xr:uid="{841DA631-92EB-457C-B6F0-1CAF97040689}"/>
    <cellStyle name="40% - Accent3 2 3 5 3" xfId="6225" xr:uid="{00000000-0005-0000-0000-00003B050000}"/>
    <cellStyle name="40% - Accent3 2 3 5 3 2" xfId="15551" xr:uid="{AEB65B5F-F777-4CA3-9D5F-928B95543781}"/>
    <cellStyle name="40% - Accent3 2 3 5 3 3" xfId="23998" xr:uid="{44490D4C-B900-47E0-91DE-90F18C30A12A}"/>
    <cellStyle name="40% - Accent3 2 3 5 4" xfId="11334" xr:uid="{5695B0AA-1EB9-4E45-A7AC-9093DBEBAB6F}"/>
    <cellStyle name="40% - Accent3 2 3 5 5" xfId="19781" xr:uid="{7634EDEC-2DB0-4DF6-877C-86AF5A8AF2FE}"/>
    <cellStyle name="40% - Accent3 2 3 6" xfId="2332" xr:uid="{00000000-0005-0000-0000-00003C050000}"/>
    <cellStyle name="40% - Accent3 2 3 6 2" xfId="6638" xr:uid="{00000000-0005-0000-0000-00003D050000}"/>
    <cellStyle name="40% - Accent3 2 3 6 2 2" xfId="15964" xr:uid="{00234919-1ECF-401F-8D11-302AA0AF340B}"/>
    <cellStyle name="40% - Accent3 2 3 6 2 3" xfId="24411" xr:uid="{FFD47F5E-A5E6-4920-94B2-38A46B1B1F24}"/>
    <cellStyle name="40% - Accent3 2 3 6 3" xfId="11747" xr:uid="{6C7D74C5-B8C2-4EC4-891C-C9F1B7AE4EE3}"/>
    <cellStyle name="40% - Accent3 2 3 6 4" xfId="20194" xr:uid="{E15D8D2B-17F9-44DF-91AD-4A2EBD4C9FE2}"/>
    <cellStyle name="40% - Accent3 2 3 7" xfId="4572" xr:uid="{00000000-0005-0000-0000-00003E050000}"/>
    <cellStyle name="40% - Accent3 2 3 7 2" xfId="13898" xr:uid="{D8BCC18C-40BD-4610-8848-C0A23A8375AA}"/>
    <cellStyle name="40% - Accent3 2 3 7 3" xfId="22345" xr:uid="{95E5FCE0-99C4-490D-BDE6-C6560D520C49}"/>
    <cellStyle name="40% - Accent3 2 3 8" xfId="9007" xr:uid="{2DEFD82C-2A62-4C1E-AA8D-7F2606BD9091}"/>
    <cellStyle name="40% - Accent3 2 3 9" xfId="9681" xr:uid="{5B766723-E72F-4B26-94CE-BDEC3D504419}"/>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2AFD8F9F-FC04-4575-B6A9-CF167D45498E}"/>
    <cellStyle name="40% - Accent3 2 4 2 2 3" xfId="24901" xr:uid="{B1DAF4BA-8F2B-448B-835A-599A0BE738FA}"/>
    <cellStyle name="40% - Accent3 2 4 2 3" xfId="12237" xr:uid="{EEF33162-08BB-4BB1-8B86-92776246C721}"/>
    <cellStyle name="40% - Accent3 2 4 2 4" xfId="20684" xr:uid="{C919FF75-B3BD-418F-A802-55F9A2F156AE}"/>
    <cellStyle name="40% - Accent3 2 4 3" xfId="4983" xr:uid="{00000000-0005-0000-0000-000042050000}"/>
    <cellStyle name="40% - Accent3 2 4 3 2" xfId="14309" xr:uid="{E129EF73-297E-4CCF-AEE4-0F58BA06B0BB}"/>
    <cellStyle name="40% - Accent3 2 4 3 3" xfId="22756" xr:uid="{B6589DFE-4ED6-4BF9-B78B-6CEAEB6D750A}"/>
    <cellStyle name="40% - Accent3 2 4 4" xfId="9224" xr:uid="{6B91012A-BFF2-4F1F-901C-A91F06F80031}"/>
    <cellStyle name="40% - Accent3 2 4 5" xfId="10092" xr:uid="{B3553E9A-A841-46E5-91BB-71D73B6CC718}"/>
    <cellStyle name="40% - Accent3 2 4 6" xfId="18539" xr:uid="{B27251A5-E61A-4C03-B148-C3D7BFB6AF1F}"/>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4E4E582C-BE85-44A5-9C12-2E4C3D2F5967}"/>
    <cellStyle name="40% - Accent3 2 5 2 2 3" xfId="25314" xr:uid="{792D9B5D-098A-48FA-B359-0A612B3B49B2}"/>
    <cellStyle name="40% - Accent3 2 5 2 3" xfId="12650" xr:uid="{441956FA-0000-4B80-B80A-AF04BDC5C340}"/>
    <cellStyle name="40% - Accent3 2 5 2 4" xfId="21097" xr:uid="{029063FA-579F-4CEE-88B7-84BEAF23FDCD}"/>
    <cellStyle name="40% - Accent3 2 5 3" xfId="5396" xr:uid="{00000000-0005-0000-0000-000046050000}"/>
    <cellStyle name="40% - Accent3 2 5 3 2" xfId="14722" xr:uid="{83971E07-DB86-4642-9968-70851EF0C587}"/>
    <cellStyle name="40% - Accent3 2 5 3 3" xfId="23169" xr:uid="{EE4467E9-DAA0-4462-A802-85CB76D35F4F}"/>
    <cellStyle name="40% - Accent3 2 5 4" xfId="10505" xr:uid="{4D92EC7E-7083-4625-A43F-691036950835}"/>
    <cellStyle name="40% - Accent3 2 5 5" xfId="18952" xr:uid="{DCC139C0-21BC-4B4E-9A69-E1EAD8D8F240}"/>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57AA3AA4-493E-4E80-88C3-517C943F5A6D}"/>
    <cellStyle name="40% - Accent3 2 6 2 2 3" xfId="25727" xr:uid="{08AD32BB-F15B-4F82-AF06-80A88F6E982F}"/>
    <cellStyle name="40% - Accent3 2 6 2 3" xfId="13063" xr:uid="{8BD18A3D-75B8-45BA-BB4C-72C0B2D0F3CD}"/>
    <cellStyle name="40% - Accent3 2 6 2 4" xfId="21510" xr:uid="{8F24CECD-BDF3-4A5C-B35A-D0C66D9052BF}"/>
    <cellStyle name="40% - Accent3 2 6 3" xfId="5809" xr:uid="{00000000-0005-0000-0000-00004A050000}"/>
    <cellStyle name="40% - Accent3 2 6 3 2" xfId="15135" xr:uid="{E7C4A7F4-CED2-4677-943D-394C4FBBE332}"/>
    <cellStyle name="40% - Accent3 2 6 3 3" xfId="23582" xr:uid="{398F892F-A740-442D-A49D-394E9D61AFF2}"/>
    <cellStyle name="40% - Accent3 2 6 4" xfId="10918" xr:uid="{65B1DEAF-CC34-4843-AC63-AB145C50593A}"/>
    <cellStyle name="40% - Accent3 2 6 5" xfId="19365" xr:uid="{F9321506-2255-4769-8733-EFA8AAD2694E}"/>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0CEF6830-0156-46B3-846B-43C851C93FBC}"/>
    <cellStyle name="40% - Accent3 2 7 2 2 3" xfId="26140" xr:uid="{A8E25081-1EA9-4E8C-B3A1-5FA8ABE301DD}"/>
    <cellStyle name="40% - Accent3 2 7 2 3" xfId="13476" xr:uid="{71672258-5B59-49F4-9371-D54C0EE140DA}"/>
    <cellStyle name="40% - Accent3 2 7 2 4" xfId="21923" xr:uid="{0514FCE9-3B0B-4AAD-BA1B-27749822E2FF}"/>
    <cellStyle name="40% - Accent3 2 7 3" xfId="6222" xr:uid="{00000000-0005-0000-0000-00004E050000}"/>
    <cellStyle name="40% - Accent3 2 7 3 2" xfId="15548" xr:uid="{9A5DEE3F-D072-410F-AB6C-DBB23EFE0031}"/>
    <cellStyle name="40% - Accent3 2 7 3 3" xfId="23995" xr:uid="{AEADDAD3-9431-4700-840D-790EB3ADC179}"/>
    <cellStyle name="40% - Accent3 2 7 4" xfId="11331" xr:uid="{35A8BDA2-DFF4-4409-B299-605AABBE9B22}"/>
    <cellStyle name="40% - Accent3 2 7 5" xfId="19778" xr:uid="{8F585E03-37C7-4D04-BFB1-F66E8CF0403C}"/>
    <cellStyle name="40% - Accent3 2 8" xfId="2329" xr:uid="{00000000-0005-0000-0000-00004F050000}"/>
    <cellStyle name="40% - Accent3 2 8 2" xfId="6635" xr:uid="{00000000-0005-0000-0000-000050050000}"/>
    <cellStyle name="40% - Accent3 2 8 2 2" xfId="15961" xr:uid="{218DA132-2FF5-4074-AC41-D820FD05A9DD}"/>
    <cellStyle name="40% - Accent3 2 8 2 3" xfId="24408" xr:uid="{32BEC2DD-D9B1-42B0-B2FD-64C5B5985876}"/>
    <cellStyle name="40% - Accent3 2 8 3" xfId="11744" xr:uid="{E1A35370-2E6C-4297-B429-F9BF7F32AE23}"/>
    <cellStyle name="40% - Accent3 2 8 4" xfId="20191" xr:uid="{BC0D8A07-B031-4C5A-9BF3-C30B5E72A0E5}"/>
    <cellStyle name="40% - Accent3 2 9" xfId="4569" xr:uid="{00000000-0005-0000-0000-000051050000}"/>
    <cellStyle name="40% - Accent3 2 9 2" xfId="13895" xr:uid="{A5A3B57F-D414-4EA1-86FA-38ADDA005CEC}"/>
    <cellStyle name="40% - Accent3 2 9 3" xfId="22342" xr:uid="{BEB20D16-259B-4EDA-86DF-E06B1856A362}"/>
    <cellStyle name="40% - Accent3 3" xfId="70" xr:uid="{00000000-0005-0000-0000-000052050000}"/>
    <cellStyle name="40% - Accent3 3 10" xfId="9682" xr:uid="{CDC9B29F-2D60-42F4-A775-49501CD08406}"/>
    <cellStyle name="40% - Accent3 3 11" xfId="18129" xr:uid="{5AC7796C-F840-4D4F-9378-C6735C630834}"/>
    <cellStyle name="40% - Accent3 3 2" xfId="71" xr:uid="{00000000-0005-0000-0000-000053050000}"/>
    <cellStyle name="40% - Accent3 3 2 10" xfId="18130" xr:uid="{2192E995-FA47-4018-A739-94E99EA2B0A2}"/>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2F935843-C93C-4213-BD60-E7BF901AFE9F}"/>
    <cellStyle name="40% - Accent3 3 2 2 2 2 3" xfId="24906" xr:uid="{C219D439-1715-4A3A-A1D6-DD14B4057E70}"/>
    <cellStyle name="40% - Accent3 3 2 2 2 3" xfId="12242" xr:uid="{4ED00C20-29EA-44E9-88E5-FCF91CFCDA49}"/>
    <cellStyle name="40% - Accent3 3 2 2 2 4" xfId="20689" xr:uid="{ED8A69CC-E43B-48D5-BB35-629731F6E389}"/>
    <cellStyle name="40% - Accent3 3 2 2 3" xfId="4988" xr:uid="{00000000-0005-0000-0000-000057050000}"/>
    <cellStyle name="40% - Accent3 3 2 2 3 2" xfId="14314" xr:uid="{FBE155EA-88EB-4012-86E4-2CA0BAEFC0E1}"/>
    <cellStyle name="40% - Accent3 3 2 2 3 3" xfId="22761" xr:uid="{F2C4485F-FAF5-4EF4-B649-5993BE0AD542}"/>
    <cellStyle name="40% - Accent3 3 2 2 4" xfId="9498" xr:uid="{7C43CF58-5AE0-4BAA-9D2B-CAB92F3612F1}"/>
    <cellStyle name="40% - Accent3 3 2 2 5" xfId="10097" xr:uid="{CB7595C3-CF0B-45C7-AC32-5614A426AE41}"/>
    <cellStyle name="40% - Accent3 3 2 2 6" xfId="18544" xr:uid="{53B8D0CB-EE24-47C9-9244-7888C5A053DC}"/>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D7FE79D3-5778-4CB1-89FD-2C84EA0A609C}"/>
    <cellStyle name="40% - Accent3 3 2 3 2 2 3" xfId="25319" xr:uid="{5076FF6F-5CB4-4984-8C58-BD84338116CD}"/>
    <cellStyle name="40% - Accent3 3 2 3 2 3" xfId="12655" xr:uid="{D43043C3-AF9C-409F-A969-783DE642D5E4}"/>
    <cellStyle name="40% - Accent3 3 2 3 2 4" xfId="21102" xr:uid="{FF836795-47BE-4350-837C-2588D8111D12}"/>
    <cellStyle name="40% - Accent3 3 2 3 3" xfId="5401" xr:uid="{00000000-0005-0000-0000-00005B050000}"/>
    <cellStyle name="40% - Accent3 3 2 3 3 2" xfId="14727" xr:uid="{F260021D-0BBC-4972-BB4A-011C53090398}"/>
    <cellStyle name="40% - Accent3 3 2 3 3 3" xfId="23174" xr:uid="{061E6563-529F-4F06-97A5-5998FC7EFDF5}"/>
    <cellStyle name="40% - Accent3 3 2 3 4" xfId="10510" xr:uid="{E7C1A24B-03F9-4CAE-B107-526402D1C91D}"/>
    <cellStyle name="40% - Accent3 3 2 3 5" xfId="18957" xr:uid="{E89B3DAE-ECF7-47A7-BCDD-C157DD359528}"/>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C9A51A34-CDF7-4111-B80D-794B5D3B73F9}"/>
    <cellStyle name="40% - Accent3 3 2 4 2 2 3" xfId="25732" xr:uid="{C0F114AF-C47D-4189-8D18-83864B0B781D}"/>
    <cellStyle name="40% - Accent3 3 2 4 2 3" xfId="13068" xr:uid="{598DE664-3DDF-440A-9807-A00EFA06F87E}"/>
    <cellStyle name="40% - Accent3 3 2 4 2 4" xfId="21515" xr:uid="{B7AF965E-C8A5-46FF-B894-2875CA086681}"/>
    <cellStyle name="40% - Accent3 3 2 4 3" xfId="5814" xr:uid="{00000000-0005-0000-0000-00005F050000}"/>
    <cellStyle name="40% - Accent3 3 2 4 3 2" xfId="15140" xr:uid="{2E4B218E-8AE2-4744-BCEE-2699E430EF59}"/>
    <cellStyle name="40% - Accent3 3 2 4 3 3" xfId="23587" xr:uid="{7C85C309-1E86-4BCB-8DF3-5862D88940DE}"/>
    <cellStyle name="40% - Accent3 3 2 4 4" xfId="10923" xr:uid="{6270ED63-1CC9-4274-BA3D-F93221AF8AEA}"/>
    <cellStyle name="40% - Accent3 3 2 4 5" xfId="19370" xr:uid="{1AD14FEE-C9EC-4D39-BBDF-CFC9A137720E}"/>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52F87FEB-1808-4A03-A6CA-2BB7ADCFE0D8}"/>
    <cellStyle name="40% - Accent3 3 2 5 2 2 3" xfId="26145" xr:uid="{85F2D7AF-DFE1-43DB-8972-4328E9FEAD0B}"/>
    <cellStyle name="40% - Accent3 3 2 5 2 3" xfId="13481" xr:uid="{710E8924-71C8-4EF3-BA35-CDD0499ECCB3}"/>
    <cellStyle name="40% - Accent3 3 2 5 2 4" xfId="21928" xr:uid="{77551895-C540-48FB-B968-9318A5C356DD}"/>
    <cellStyle name="40% - Accent3 3 2 5 3" xfId="6227" xr:uid="{00000000-0005-0000-0000-000063050000}"/>
    <cellStyle name="40% - Accent3 3 2 5 3 2" xfId="15553" xr:uid="{73483DBA-0AB4-421A-A2CC-2C6917AB5D08}"/>
    <cellStyle name="40% - Accent3 3 2 5 3 3" xfId="24000" xr:uid="{88F4E65A-ABE0-487D-AE27-B953C7DC7D76}"/>
    <cellStyle name="40% - Accent3 3 2 5 4" xfId="11336" xr:uid="{E932EBC4-D07C-41FB-AC07-248735588289}"/>
    <cellStyle name="40% - Accent3 3 2 5 5" xfId="19783" xr:uid="{47886D7D-5A53-49E6-9B08-40C8C3C4DC53}"/>
    <cellStyle name="40% - Accent3 3 2 6" xfId="2334" xr:uid="{00000000-0005-0000-0000-000064050000}"/>
    <cellStyle name="40% - Accent3 3 2 6 2" xfId="6640" xr:uid="{00000000-0005-0000-0000-000065050000}"/>
    <cellStyle name="40% - Accent3 3 2 6 2 2" xfId="15966" xr:uid="{BA8565A3-DCCB-4627-A39C-2622D9ED619A}"/>
    <cellStyle name="40% - Accent3 3 2 6 2 3" xfId="24413" xr:uid="{2E13D50A-6E7B-437A-B078-3111143D527E}"/>
    <cellStyle name="40% - Accent3 3 2 6 3" xfId="11749" xr:uid="{4B2E4588-8997-4F8A-91A0-C35D89B8506F}"/>
    <cellStyle name="40% - Accent3 3 2 6 4" xfId="20196" xr:uid="{8E18C033-5E47-4CBF-BA3A-211FAD7BC835}"/>
    <cellStyle name="40% - Accent3 3 2 7" xfId="4574" xr:uid="{00000000-0005-0000-0000-000066050000}"/>
    <cellStyle name="40% - Accent3 3 2 7 2" xfId="13900" xr:uid="{8E6405F7-C50C-4BB1-9D1C-A9EE47D5FD26}"/>
    <cellStyle name="40% - Accent3 3 2 7 3" xfId="22347" xr:uid="{70E24F07-CE0A-44CA-8B4E-0CBA7B933AD5}"/>
    <cellStyle name="40% - Accent3 3 2 8" xfId="9073" xr:uid="{0E71C752-2CF0-411D-A05E-4DA4A73CFC34}"/>
    <cellStyle name="40% - Accent3 3 2 9" xfId="9683" xr:uid="{BB7C81CE-D0B6-4582-9015-FBAFAC5E5D89}"/>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35F73369-F6CC-4645-8F19-76998DDBEA7F}"/>
    <cellStyle name="40% - Accent3 3 3 2 2 3" xfId="24905" xr:uid="{E333126C-5412-4FEF-A6D9-6AEA2E32A852}"/>
    <cellStyle name="40% - Accent3 3 3 2 3" xfId="12241" xr:uid="{E05C482C-D9FB-4A85-BE0A-BAFAA763402B}"/>
    <cellStyle name="40% - Accent3 3 3 2 4" xfId="20688" xr:uid="{4CA63A25-3139-402B-A48E-3C0B8D009C91}"/>
    <cellStyle name="40% - Accent3 3 3 3" xfId="4987" xr:uid="{00000000-0005-0000-0000-00006A050000}"/>
    <cellStyle name="40% - Accent3 3 3 3 2" xfId="14313" xr:uid="{729E27A0-E389-4410-8E01-EA4B4FBE727D}"/>
    <cellStyle name="40% - Accent3 3 3 3 3" xfId="22760" xr:uid="{126727D5-12BD-472F-864B-5DFF95574D80}"/>
    <cellStyle name="40% - Accent3 3 3 4" xfId="9291" xr:uid="{59AB3F6D-A8C6-4A37-A8E3-967850079A77}"/>
    <cellStyle name="40% - Accent3 3 3 5" xfId="10096" xr:uid="{B369C2E4-6B46-4F4F-9800-1EAB8E518354}"/>
    <cellStyle name="40% - Accent3 3 3 6" xfId="18543" xr:uid="{701F6B0D-CEF6-41DE-A4FC-58196D6E363F}"/>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9495123B-1BF8-42CC-B779-BE828297A6E8}"/>
    <cellStyle name="40% - Accent3 3 4 2 2 3" xfId="25318" xr:uid="{16A80F57-03A7-4EEB-912A-342A70F95E61}"/>
    <cellStyle name="40% - Accent3 3 4 2 3" xfId="12654" xr:uid="{951ACE92-F7CF-4C57-BC6F-4D64105D927F}"/>
    <cellStyle name="40% - Accent3 3 4 2 4" xfId="21101" xr:uid="{8FC18A3A-5725-4883-8E02-727081F3359A}"/>
    <cellStyle name="40% - Accent3 3 4 3" xfId="5400" xr:uid="{00000000-0005-0000-0000-00006E050000}"/>
    <cellStyle name="40% - Accent3 3 4 3 2" xfId="14726" xr:uid="{75BFF2FA-FAB8-4FE5-BB36-C04B52DEEAD5}"/>
    <cellStyle name="40% - Accent3 3 4 3 3" xfId="23173" xr:uid="{03012D32-DD4A-4D11-88F5-231577DDA1C1}"/>
    <cellStyle name="40% - Accent3 3 4 4" xfId="10509" xr:uid="{E003E826-8509-40A1-90E9-92CB717A593C}"/>
    <cellStyle name="40% - Accent3 3 4 5" xfId="18956" xr:uid="{8170CCBD-3E65-4D0E-BB57-8B4A4C7C2256}"/>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C223093E-0FB7-423B-8234-A576FD43F9CA}"/>
    <cellStyle name="40% - Accent3 3 5 2 2 3" xfId="25731" xr:uid="{41BC0BDC-3640-4FD4-9496-DED09C9DF592}"/>
    <cellStyle name="40% - Accent3 3 5 2 3" xfId="13067" xr:uid="{8F7F2137-3415-4D7B-A485-5BB51ED5FD4B}"/>
    <cellStyle name="40% - Accent3 3 5 2 4" xfId="21514" xr:uid="{1EC45346-EC16-4AF1-9281-8D656D33AA6C}"/>
    <cellStyle name="40% - Accent3 3 5 3" xfId="5813" xr:uid="{00000000-0005-0000-0000-000072050000}"/>
    <cellStyle name="40% - Accent3 3 5 3 2" xfId="15139" xr:uid="{D9E71507-5D9E-4039-BBE0-C195212F2DAF}"/>
    <cellStyle name="40% - Accent3 3 5 3 3" xfId="23586" xr:uid="{0F1332D7-C326-470C-8549-95A9815F81FE}"/>
    <cellStyle name="40% - Accent3 3 5 4" xfId="10922" xr:uid="{47C7B8F1-26CF-47EA-A611-706500820CD3}"/>
    <cellStyle name="40% - Accent3 3 5 5" xfId="19369" xr:uid="{C5BF3EF2-DC73-427B-BE85-A0E8E83044FD}"/>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B08FCE73-5F26-41ED-AF68-29B191B81E9F}"/>
    <cellStyle name="40% - Accent3 3 6 2 2 3" xfId="26144" xr:uid="{DE05A2BA-0ACF-4B1A-BC49-930ED9D2521B}"/>
    <cellStyle name="40% - Accent3 3 6 2 3" xfId="13480" xr:uid="{F0DF2638-FA73-45A4-99AA-BEBB1EB7B137}"/>
    <cellStyle name="40% - Accent3 3 6 2 4" xfId="21927" xr:uid="{B23656F5-E7CF-4590-9A37-9A43A847A38A}"/>
    <cellStyle name="40% - Accent3 3 6 3" xfId="6226" xr:uid="{00000000-0005-0000-0000-000076050000}"/>
    <cellStyle name="40% - Accent3 3 6 3 2" xfId="15552" xr:uid="{23F5F2A7-09CD-4A5C-8B46-8EA9C71CDA41}"/>
    <cellStyle name="40% - Accent3 3 6 3 3" xfId="23999" xr:uid="{AC705B2A-C616-46EB-A933-761CB3F75620}"/>
    <cellStyle name="40% - Accent3 3 6 4" xfId="11335" xr:uid="{A4288386-476F-4CA6-9090-1A8E0D93ECA5}"/>
    <cellStyle name="40% - Accent3 3 6 5" xfId="19782" xr:uid="{384D4FD6-C96A-494A-BE8C-193B71F22D9E}"/>
    <cellStyle name="40% - Accent3 3 7" xfId="2333" xr:uid="{00000000-0005-0000-0000-000077050000}"/>
    <cellStyle name="40% - Accent3 3 7 2" xfId="6639" xr:uid="{00000000-0005-0000-0000-000078050000}"/>
    <cellStyle name="40% - Accent3 3 7 2 2" xfId="15965" xr:uid="{137EE638-B27C-4D1C-B5B5-11B5F3EB33A5}"/>
    <cellStyle name="40% - Accent3 3 7 2 3" xfId="24412" xr:uid="{3BD4FD9F-B6CF-4C40-A9D0-023460776EAE}"/>
    <cellStyle name="40% - Accent3 3 7 3" xfId="11748" xr:uid="{37F7C760-239B-47A9-A070-F51D79A58E89}"/>
    <cellStyle name="40% - Accent3 3 7 4" xfId="20195" xr:uid="{226D9A46-25EE-4CD4-BFAC-71E8B8D9BD84}"/>
    <cellStyle name="40% - Accent3 3 8" xfId="4573" xr:uid="{00000000-0005-0000-0000-000079050000}"/>
    <cellStyle name="40% - Accent3 3 8 2" xfId="13899" xr:uid="{C9ABDC7C-487E-4B3A-BFF1-A37538918EA1}"/>
    <cellStyle name="40% - Accent3 3 8 3" xfId="22346" xr:uid="{638E407A-D8A0-4860-AEF8-388861828FA8}"/>
    <cellStyle name="40% - Accent3 3 9" xfId="8866" xr:uid="{1A1EF43E-4A2B-42A8-98A3-CEC34DD3B00D}"/>
    <cellStyle name="40% - Accent3 4" xfId="72" xr:uid="{00000000-0005-0000-0000-00007A050000}"/>
    <cellStyle name="40% - Accent3 4 10" xfId="18131" xr:uid="{080D9199-D0DC-4D49-88A1-768EC26941D7}"/>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7BC4FD51-895D-4755-ACF0-CC00A42C3366}"/>
    <cellStyle name="40% - Accent3 4 2 2 2 3" xfId="24907" xr:uid="{EAA5A78B-7355-4931-8D14-76CD45467BB2}"/>
    <cellStyle name="40% - Accent3 4 2 2 3" xfId="12243" xr:uid="{77F86821-7571-445E-AFA4-8B684BBED2EF}"/>
    <cellStyle name="40% - Accent3 4 2 2 4" xfId="20690" xr:uid="{39DA570B-341F-447A-9EC6-1D68E9A0BEBB}"/>
    <cellStyle name="40% - Accent3 4 2 3" xfId="4989" xr:uid="{00000000-0005-0000-0000-00007E050000}"/>
    <cellStyle name="40% - Accent3 4 2 3 2" xfId="14315" xr:uid="{125FC2BE-994E-4E7E-83E4-FDCE179D875A}"/>
    <cellStyle name="40% - Accent3 4 2 3 3" xfId="22762" xr:uid="{01EEE6AC-D410-4E0F-888B-EDF2161D1624}"/>
    <cellStyle name="40% - Accent3 4 2 4" xfId="9377" xr:uid="{F4393833-4E73-4685-9332-CF918D5239A9}"/>
    <cellStyle name="40% - Accent3 4 2 5" xfId="10098" xr:uid="{ACA0AE0B-4FAC-4190-864C-32151C2F2190}"/>
    <cellStyle name="40% - Accent3 4 2 6" xfId="18545" xr:uid="{0F0752E3-7481-4056-B1AF-BDD795E6E960}"/>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90A8884F-7DD1-4740-845E-94544479FCE1}"/>
    <cellStyle name="40% - Accent3 4 3 2 2 3" xfId="25320" xr:uid="{EDC95DC2-C78E-4CB3-9663-05702C4F2274}"/>
    <cellStyle name="40% - Accent3 4 3 2 3" xfId="12656" xr:uid="{816747A9-C3DC-44C2-996D-9FD61DD48844}"/>
    <cellStyle name="40% - Accent3 4 3 2 4" xfId="21103" xr:uid="{26EDF1D9-5C01-4B96-AAFA-CBC14457CE92}"/>
    <cellStyle name="40% - Accent3 4 3 3" xfId="5402" xr:uid="{00000000-0005-0000-0000-000082050000}"/>
    <cellStyle name="40% - Accent3 4 3 3 2" xfId="14728" xr:uid="{6C9F7218-F6F5-4701-B525-9626633937E9}"/>
    <cellStyle name="40% - Accent3 4 3 3 3" xfId="23175" xr:uid="{58C9D187-817E-4C9C-AB3E-0D2FF2D8CEFE}"/>
    <cellStyle name="40% - Accent3 4 3 4" xfId="10511" xr:uid="{45E8A020-D04F-4D25-9C43-94CACF8332E4}"/>
    <cellStyle name="40% - Accent3 4 3 5" xfId="18958" xr:uid="{537258F8-1CC3-4C3A-AA90-C25B2860D954}"/>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5A9C1287-53B7-475A-A33E-09B6383B764C}"/>
    <cellStyle name="40% - Accent3 4 4 2 2 3" xfId="25733" xr:uid="{07DD17D7-2256-4316-976D-AAC98170B59A}"/>
    <cellStyle name="40% - Accent3 4 4 2 3" xfId="13069" xr:uid="{5349DEA7-E3BE-4D65-B4B6-38C8BBDA78B2}"/>
    <cellStyle name="40% - Accent3 4 4 2 4" xfId="21516" xr:uid="{91EDED20-4028-4AAA-9DAB-59966DCF3169}"/>
    <cellStyle name="40% - Accent3 4 4 3" xfId="5815" xr:uid="{00000000-0005-0000-0000-000086050000}"/>
    <cellStyle name="40% - Accent3 4 4 3 2" xfId="15141" xr:uid="{03202D1A-6AD7-47F0-98D7-2617D4E16A92}"/>
    <cellStyle name="40% - Accent3 4 4 3 3" xfId="23588" xr:uid="{23DC6708-751B-445D-B9B0-CE2219528CE2}"/>
    <cellStyle name="40% - Accent3 4 4 4" xfId="10924" xr:uid="{558D33D0-AE4E-4458-A54C-D793755A6AA1}"/>
    <cellStyle name="40% - Accent3 4 4 5" xfId="19371" xr:uid="{313EDAA4-E58A-49B7-B130-C8D04E513F41}"/>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64815D30-59AE-493E-8338-00196B89F231}"/>
    <cellStyle name="40% - Accent3 4 5 2 2 3" xfId="26146" xr:uid="{11DB7B78-1594-4A0D-9DF7-F5D70DEA18DD}"/>
    <cellStyle name="40% - Accent3 4 5 2 3" xfId="13482" xr:uid="{191BE01C-CE5B-46FE-A7C8-38E780CC7262}"/>
    <cellStyle name="40% - Accent3 4 5 2 4" xfId="21929" xr:uid="{53A84A33-6D92-4F5E-AC58-EAFC6DDC5C10}"/>
    <cellStyle name="40% - Accent3 4 5 3" xfId="6228" xr:uid="{00000000-0005-0000-0000-00008A050000}"/>
    <cellStyle name="40% - Accent3 4 5 3 2" xfId="15554" xr:uid="{C8C8C661-58F6-4F36-81EB-D49149B7EB04}"/>
    <cellStyle name="40% - Accent3 4 5 3 3" xfId="24001" xr:uid="{0A56AE9F-BE26-47D1-9321-EC6303757BBA}"/>
    <cellStyle name="40% - Accent3 4 5 4" xfId="11337" xr:uid="{B90C38E6-28BF-4EE2-BA4D-9B6ADBD49506}"/>
    <cellStyle name="40% - Accent3 4 5 5" xfId="19784" xr:uid="{4F95B979-7C38-4E24-B16E-18A5330D7398}"/>
    <cellStyle name="40% - Accent3 4 6" xfId="2335" xr:uid="{00000000-0005-0000-0000-00008B050000}"/>
    <cellStyle name="40% - Accent3 4 6 2" xfId="6641" xr:uid="{00000000-0005-0000-0000-00008C050000}"/>
    <cellStyle name="40% - Accent3 4 6 2 2" xfId="15967" xr:uid="{E38F99D1-45EB-4F19-99DF-49107A0D2822}"/>
    <cellStyle name="40% - Accent3 4 6 2 3" xfId="24414" xr:uid="{C6E9AE28-A22B-4DF0-A02C-719BB150B216}"/>
    <cellStyle name="40% - Accent3 4 6 3" xfId="11750" xr:uid="{BC2764DE-622D-4E2E-9A2F-2A7930E82DD8}"/>
    <cellStyle name="40% - Accent3 4 6 4" xfId="20197" xr:uid="{7EAA07ED-3B6C-431F-B091-F5349490636D}"/>
    <cellStyle name="40% - Accent3 4 7" xfId="4575" xr:uid="{00000000-0005-0000-0000-00008D050000}"/>
    <cellStyle name="40% - Accent3 4 7 2" xfId="13901" xr:uid="{49CECFB3-2E11-4249-86B3-62DA0726A12F}"/>
    <cellStyle name="40% - Accent3 4 7 3" xfId="22348" xr:uid="{B6CE7901-87B5-4027-8C4D-4FBEDBBDAB1F}"/>
    <cellStyle name="40% - Accent3 4 8" xfId="8952" xr:uid="{74BF8F1E-4A34-4787-9BA1-0B97E446635F}"/>
    <cellStyle name="40% - Accent3 4 9" xfId="9684" xr:uid="{DA67700C-CA97-4B90-A6D1-D16708D3071F}"/>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B144D2EF-62AA-4BCA-ADE9-2413A9C78DB7}"/>
    <cellStyle name="40% - Accent3 5 2 2 3" xfId="24900" xr:uid="{93E0033B-B2F1-423C-958D-70E2DCDA84B0}"/>
    <cellStyle name="40% - Accent3 5 2 3" xfId="12236" xr:uid="{02E20DB8-AD50-4FCF-BBD7-6395DBC6DF2F}"/>
    <cellStyle name="40% - Accent3 5 2 4" xfId="20683" xr:uid="{DECA1404-43DF-448B-93DB-79906B151EF3}"/>
    <cellStyle name="40% - Accent3 5 3" xfId="4982" xr:uid="{00000000-0005-0000-0000-000091050000}"/>
    <cellStyle name="40% - Accent3 5 3 2" xfId="14308" xr:uid="{7EFC13F2-B951-41B9-BA39-955792B990AD}"/>
    <cellStyle name="40% - Accent3 5 3 3" xfId="22755" xr:uid="{70091A83-A600-404D-91B3-0D6C719D3D63}"/>
    <cellStyle name="40% - Accent3 5 4" xfId="9185" xr:uid="{526F025D-EBF7-4976-9E38-4C0631A2843B}"/>
    <cellStyle name="40% - Accent3 5 5" xfId="10091" xr:uid="{E542A713-1A6E-49DB-8AFA-17009EE3745A}"/>
    <cellStyle name="40% - Accent3 5 6" xfId="18538" xr:uid="{E2939C83-4A82-43EB-AA61-84F8865A0F10}"/>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6C170562-C02D-46A8-8D6F-14248A795EDD}"/>
    <cellStyle name="40% - Accent3 6 2 2 3" xfId="25313" xr:uid="{DB94A22C-131A-4CE9-8760-1C1F7ECA819B}"/>
    <cellStyle name="40% - Accent3 6 2 3" xfId="12649" xr:uid="{092812FC-B4C0-4E9B-B3E9-4469B478F29F}"/>
    <cellStyle name="40% - Accent3 6 2 4" xfId="21096" xr:uid="{E33EE860-E1FC-431D-84ED-EE1CF1E98C46}"/>
    <cellStyle name="40% - Accent3 6 3" xfId="5395" xr:uid="{00000000-0005-0000-0000-000095050000}"/>
    <cellStyle name="40% - Accent3 6 3 2" xfId="14721" xr:uid="{6E96649F-C8C6-477E-A317-8AB75566D378}"/>
    <cellStyle name="40% - Accent3 6 3 3" xfId="23168" xr:uid="{3E52614D-7AA0-402E-A832-CC9EA6E7F200}"/>
    <cellStyle name="40% - Accent3 6 4" xfId="10504" xr:uid="{0812B23B-F240-42A5-A7AD-6E337A3ACE57}"/>
    <cellStyle name="40% - Accent3 6 5" xfId="18951" xr:uid="{2CADA1D3-C539-4F45-8584-463C2A465E5C}"/>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F3798CA6-90C6-4571-86DA-31856AFB2B5C}"/>
    <cellStyle name="40% - Accent3 7 2 2 3" xfId="25726" xr:uid="{F46D8817-28BE-48E0-B97F-A120C67036E8}"/>
    <cellStyle name="40% - Accent3 7 2 3" xfId="13062" xr:uid="{40BB3669-5698-459F-9B15-AA836CDA2051}"/>
    <cellStyle name="40% - Accent3 7 2 4" xfId="21509" xr:uid="{27B4375B-DB4B-4622-B833-17E09D74881D}"/>
    <cellStyle name="40% - Accent3 7 3" xfId="5808" xr:uid="{00000000-0005-0000-0000-000099050000}"/>
    <cellStyle name="40% - Accent3 7 3 2" xfId="15134" xr:uid="{7D6BAE30-6AD0-4E66-91D7-EE5596BD168A}"/>
    <cellStyle name="40% - Accent3 7 3 3" xfId="23581" xr:uid="{D6001B1D-2FBD-40D8-93C3-183331C23AFA}"/>
    <cellStyle name="40% - Accent3 7 4" xfId="10917" xr:uid="{901FF17D-7BDC-4E02-B8B2-33C405B1F865}"/>
    <cellStyle name="40% - Accent3 7 5" xfId="19364" xr:uid="{2BE614C0-C98B-4CF3-AB30-52334D001474}"/>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26925C44-9095-4BC3-A05D-46D35557FCB0}"/>
    <cellStyle name="40% - Accent3 8 2 2 3" xfId="26139" xr:uid="{081F5E55-4816-40E8-8016-A316AD5D0034}"/>
    <cellStyle name="40% - Accent3 8 2 3" xfId="13475" xr:uid="{1588769D-7127-4F99-9E92-C95CDB52931E}"/>
    <cellStyle name="40% - Accent3 8 2 4" xfId="21922" xr:uid="{3A202B8A-2F23-4D54-9755-2081F11EF530}"/>
    <cellStyle name="40% - Accent3 8 3" xfId="6221" xr:uid="{00000000-0005-0000-0000-00009D050000}"/>
    <cellStyle name="40% - Accent3 8 3 2" xfId="15547" xr:uid="{72B1A594-1EC5-4F84-887D-D3BDB00C3C63}"/>
    <cellStyle name="40% - Accent3 8 3 3" xfId="23994" xr:uid="{F606C107-2C6C-41D0-8349-004239129F1C}"/>
    <cellStyle name="40% - Accent3 8 4" xfId="11330" xr:uid="{97B72E58-0EDB-4067-89B4-6358DA52D14A}"/>
    <cellStyle name="40% - Accent3 8 5" xfId="19777" xr:uid="{6529C6C2-0FBD-49AF-B398-35D47F9CFBBC}"/>
    <cellStyle name="40% - Accent3 9" xfId="2328" xr:uid="{00000000-0005-0000-0000-00009E050000}"/>
    <cellStyle name="40% - Accent3 9 2" xfId="6634" xr:uid="{00000000-0005-0000-0000-00009F050000}"/>
    <cellStyle name="40% - Accent3 9 2 2" xfId="15960" xr:uid="{72A70445-E9EB-415D-8259-9B3A4C8E4357}"/>
    <cellStyle name="40% - Accent3 9 2 3" xfId="24407" xr:uid="{EEC1CA23-D614-4B2E-924D-A4D1FD906958}"/>
    <cellStyle name="40% - Accent3 9 3" xfId="11743" xr:uid="{93990BEF-6AC4-4069-BEAF-0E6FF0D21968}"/>
    <cellStyle name="40% - Accent3 9 4" xfId="20190" xr:uid="{5F915574-B07B-472C-A1D8-6735B7B6E1EA}"/>
    <cellStyle name="40% - Accent4" xfId="73" builtinId="43" customBuiltin="1"/>
    <cellStyle name="40% - Accent4 10" xfId="4576" xr:uid="{00000000-0005-0000-0000-0000A1050000}"/>
    <cellStyle name="40% - Accent4 10 2" xfId="13902" xr:uid="{7076FB9D-4115-46CA-A4E1-D96F88FDAE63}"/>
    <cellStyle name="40% - Accent4 10 3" xfId="22349" xr:uid="{E47A7A91-96C7-4F3D-8840-E490CDAEF0A6}"/>
    <cellStyle name="40% - Accent4 11" xfId="8765" xr:uid="{18B6B6D6-5043-43D1-BB02-3855BF7027C3}"/>
    <cellStyle name="40% - Accent4 12" xfId="9685" xr:uid="{6F00194D-C38C-4B2D-83EA-5C7F65EA6C6C}"/>
    <cellStyle name="40% - Accent4 13" xfId="18132" xr:uid="{5E30612B-29C7-4D58-BFE6-1966B833AB70}"/>
    <cellStyle name="40% - Accent4 2" xfId="74" xr:uid="{00000000-0005-0000-0000-0000A2050000}"/>
    <cellStyle name="40% - Accent4 2 10" xfId="8801" xr:uid="{223FCC58-A05E-4022-8080-E75A80678FA6}"/>
    <cellStyle name="40% - Accent4 2 11" xfId="9686" xr:uid="{38416B78-0E16-4F3A-809E-A4F147DF2B95}"/>
    <cellStyle name="40% - Accent4 2 12" xfId="18133" xr:uid="{7E838B29-7316-43AE-8DB2-F1DC72172F0A}"/>
    <cellStyle name="40% - Accent4 2 2" xfId="75" xr:uid="{00000000-0005-0000-0000-0000A3050000}"/>
    <cellStyle name="40% - Accent4 2 2 10" xfId="9687" xr:uid="{C3C31279-7986-44FE-ADC5-A1A92462BD02}"/>
    <cellStyle name="40% - Accent4 2 2 11" xfId="18134" xr:uid="{9B4D007C-DF3F-4312-A9DA-AD41CCA5DE8C}"/>
    <cellStyle name="40% - Accent4 2 2 2" xfId="76" xr:uid="{00000000-0005-0000-0000-0000A4050000}"/>
    <cellStyle name="40% - Accent4 2 2 2 10" xfId="18135" xr:uid="{D73C3AA2-A313-45DA-8DA1-1E2DCCA94E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C16FB8EC-D4D2-42A2-8354-3D9D737DF603}"/>
    <cellStyle name="40% - Accent4 2 2 2 2 2 2 3" xfId="24911" xr:uid="{80A2FC99-8BC9-4D7E-96CB-188CE07F3883}"/>
    <cellStyle name="40% - Accent4 2 2 2 2 2 3" xfId="12247" xr:uid="{D87344FE-AA81-453A-B607-F09138FCDF9D}"/>
    <cellStyle name="40% - Accent4 2 2 2 2 2 4" xfId="20694" xr:uid="{17EB1E79-BBBA-4CE5-8067-A268228A994F}"/>
    <cellStyle name="40% - Accent4 2 2 2 2 3" xfId="4993" xr:uid="{00000000-0005-0000-0000-0000A8050000}"/>
    <cellStyle name="40% - Accent4 2 2 2 2 3 2" xfId="14319" xr:uid="{0362CEAA-2192-4C3C-BC0C-F544F84554CF}"/>
    <cellStyle name="40% - Accent4 2 2 2 2 3 3" xfId="22766" xr:uid="{FD1FDC88-1622-480F-9042-81930438632D}"/>
    <cellStyle name="40% - Accent4 2 2 2 2 4" xfId="9536" xr:uid="{4351D24F-CE30-4CFD-968F-4B882F0FC9B5}"/>
    <cellStyle name="40% - Accent4 2 2 2 2 5" xfId="10102" xr:uid="{C864D62A-CF67-42CD-85A6-2D34F4B0AF94}"/>
    <cellStyle name="40% - Accent4 2 2 2 2 6" xfId="18549" xr:uid="{1ADFD1ED-BC69-4034-862F-693A36C3C8BB}"/>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9A07CC3B-C74D-43E4-9C93-6A91515B4AA1}"/>
    <cellStyle name="40% - Accent4 2 2 2 3 2 2 3" xfId="25324" xr:uid="{A8FAE72C-B37E-40A2-9831-33127E370C16}"/>
    <cellStyle name="40% - Accent4 2 2 2 3 2 3" xfId="12660" xr:uid="{5EA63A05-5E98-4CE0-8FC0-D3825E657F13}"/>
    <cellStyle name="40% - Accent4 2 2 2 3 2 4" xfId="21107" xr:uid="{9ED90065-9E35-4C3B-933E-7C5975C3EB42}"/>
    <cellStyle name="40% - Accent4 2 2 2 3 3" xfId="5406" xr:uid="{00000000-0005-0000-0000-0000AC050000}"/>
    <cellStyle name="40% - Accent4 2 2 2 3 3 2" xfId="14732" xr:uid="{51A29667-C1DA-43C5-B0D5-A83009E22465}"/>
    <cellStyle name="40% - Accent4 2 2 2 3 3 3" xfId="23179" xr:uid="{21ED0C3C-059E-4A10-B464-6047CB1734D5}"/>
    <cellStyle name="40% - Accent4 2 2 2 3 4" xfId="10515" xr:uid="{EA5E7588-0827-4042-BDA4-A053ADD0CCCB}"/>
    <cellStyle name="40% - Accent4 2 2 2 3 5" xfId="18962" xr:uid="{3BD7F65B-6A10-4C16-82A6-EC5A0BF4FE7E}"/>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05652B7C-F96B-472E-B488-85CC5428336C}"/>
    <cellStyle name="40% - Accent4 2 2 2 4 2 2 3" xfId="25737" xr:uid="{996565DB-AEC8-485C-9B05-2E345F2D06B7}"/>
    <cellStyle name="40% - Accent4 2 2 2 4 2 3" xfId="13073" xr:uid="{2C463F48-35CA-43DA-9D5F-F4E6711381F3}"/>
    <cellStyle name="40% - Accent4 2 2 2 4 2 4" xfId="21520" xr:uid="{B72052AF-52D9-4F39-A025-FDD8B5ADD29B}"/>
    <cellStyle name="40% - Accent4 2 2 2 4 3" xfId="5819" xr:uid="{00000000-0005-0000-0000-0000B0050000}"/>
    <cellStyle name="40% - Accent4 2 2 2 4 3 2" xfId="15145" xr:uid="{17BC3D66-A7D1-473D-8AEF-6490C382E250}"/>
    <cellStyle name="40% - Accent4 2 2 2 4 3 3" xfId="23592" xr:uid="{2888579A-5F0E-4432-8326-99E4CEF896E4}"/>
    <cellStyle name="40% - Accent4 2 2 2 4 4" xfId="10928" xr:uid="{F8444B79-E648-4ADC-8529-54175AE3D984}"/>
    <cellStyle name="40% - Accent4 2 2 2 4 5" xfId="19375" xr:uid="{17093E94-DB25-41D7-B145-6EE3919CB736}"/>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774116C6-03BF-474F-93BB-DCE5E17D417F}"/>
    <cellStyle name="40% - Accent4 2 2 2 5 2 2 3" xfId="26150" xr:uid="{95FF35ED-58D1-4312-9CAC-3F50723B621D}"/>
    <cellStyle name="40% - Accent4 2 2 2 5 2 3" xfId="13486" xr:uid="{BD7E0F6E-BF85-47B3-90EC-92104672FD45}"/>
    <cellStyle name="40% - Accent4 2 2 2 5 2 4" xfId="21933" xr:uid="{127A0D92-51BA-41E0-AB1D-7CF1D0EA9936}"/>
    <cellStyle name="40% - Accent4 2 2 2 5 3" xfId="6232" xr:uid="{00000000-0005-0000-0000-0000B4050000}"/>
    <cellStyle name="40% - Accent4 2 2 2 5 3 2" xfId="15558" xr:uid="{E385927B-7267-4DCB-8EBC-9F7AEF2E2CCD}"/>
    <cellStyle name="40% - Accent4 2 2 2 5 3 3" xfId="24005" xr:uid="{A356ACCB-E38B-4861-BDDF-C08026E49464}"/>
    <cellStyle name="40% - Accent4 2 2 2 5 4" xfId="11341" xr:uid="{0F992F18-2E43-44EE-81EB-192A188742C2}"/>
    <cellStyle name="40% - Accent4 2 2 2 5 5" xfId="19788" xr:uid="{113345CD-8CA3-4FF2-981D-79FB88F80522}"/>
    <cellStyle name="40% - Accent4 2 2 2 6" xfId="2339" xr:uid="{00000000-0005-0000-0000-0000B5050000}"/>
    <cellStyle name="40% - Accent4 2 2 2 6 2" xfId="6645" xr:uid="{00000000-0005-0000-0000-0000B6050000}"/>
    <cellStyle name="40% - Accent4 2 2 2 6 2 2" xfId="15971" xr:uid="{0F1EA0DC-D5C3-4C6D-A23B-E094B58F8CF6}"/>
    <cellStyle name="40% - Accent4 2 2 2 6 2 3" xfId="24418" xr:uid="{C3548FBC-2E1C-456A-B88D-0A7FDC5BF221}"/>
    <cellStyle name="40% - Accent4 2 2 2 6 3" xfId="11754" xr:uid="{DDF89B9E-49A5-41C2-B4F8-4037308244F4}"/>
    <cellStyle name="40% - Accent4 2 2 2 6 4" xfId="20201" xr:uid="{DAB68A92-0FB9-4209-827C-C9BA57E476E4}"/>
    <cellStyle name="40% - Accent4 2 2 2 7" xfId="4579" xr:uid="{00000000-0005-0000-0000-0000B7050000}"/>
    <cellStyle name="40% - Accent4 2 2 2 7 2" xfId="13905" xr:uid="{A9FCB18A-6592-4269-A78A-193D06E29CC8}"/>
    <cellStyle name="40% - Accent4 2 2 2 7 3" xfId="22352" xr:uid="{C317C8C6-1CE6-4B49-8405-95F267B1B113}"/>
    <cellStyle name="40% - Accent4 2 2 2 8" xfId="9111" xr:uid="{1DD86F12-0D11-497C-88D9-78D90E1EF65F}"/>
    <cellStyle name="40% - Accent4 2 2 2 9" xfId="9688" xr:uid="{7A586DE6-DDD8-44F5-98C4-EDDF772D5567}"/>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986F0410-82FD-4FD2-B07C-D1052BCC538F}"/>
    <cellStyle name="40% - Accent4 2 2 3 2 2 3" xfId="24910" xr:uid="{1EFC096E-9245-46B4-8311-27D129649FEB}"/>
    <cellStyle name="40% - Accent4 2 2 3 2 3" xfId="12246" xr:uid="{7F387E88-4D3F-4251-808A-14AF4866ADD7}"/>
    <cellStyle name="40% - Accent4 2 2 3 2 4" xfId="20693" xr:uid="{6E6A1DA6-9121-4716-B382-6F80999B36C9}"/>
    <cellStyle name="40% - Accent4 2 2 3 3" xfId="4992" xr:uid="{00000000-0005-0000-0000-0000BB050000}"/>
    <cellStyle name="40% - Accent4 2 2 3 3 2" xfId="14318" xr:uid="{3B195D71-4264-4D47-8CFC-18A9E1341EE2}"/>
    <cellStyle name="40% - Accent4 2 2 3 3 3" xfId="22765" xr:uid="{CDE3E735-13F6-4F57-A910-5600CF12F7B9}"/>
    <cellStyle name="40% - Accent4 2 2 3 4" xfId="9329" xr:uid="{62CB3536-9FC4-4DBF-9121-AD0025D891C9}"/>
    <cellStyle name="40% - Accent4 2 2 3 5" xfId="10101" xr:uid="{C0C7AB92-9A94-4E07-9DF2-7764F3B56277}"/>
    <cellStyle name="40% - Accent4 2 2 3 6" xfId="18548" xr:uid="{229DDEE0-8F2A-47F3-90BE-58FB332BCA34}"/>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2D93FFB7-7094-4021-A70C-D729ED866FC7}"/>
    <cellStyle name="40% - Accent4 2 2 4 2 2 3" xfId="25323" xr:uid="{BBA6163D-6903-4BB6-85E8-3E61DEFDBAED}"/>
    <cellStyle name="40% - Accent4 2 2 4 2 3" xfId="12659" xr:uid="{E354C0FF-B4A7-490F-ABBD-644FFCEDD41E}"/>
    <cellStyle name="40% - Accent4 2 2 4 2 4" xfId="21106" xr:uid="{CCA375C0-3967-46CD-ADB6-304D4C2C5ED3}"/>
    <cellStyle name="40% - Accent4 2 2 4 3" xfId="5405" xr:uid="{00000000-0005-0000-0000-0000BF050000}"/>
    <cellStyle name="40% - Accent4 2 2 4 3 2" xfId="14731" xr:uid="{CC8EF11C-A61D-45CF-B423-332B2F49858E}"/>
    <cellStyle name="40% - Accent4 2 2 4 3 3" xfId="23178" xr:uid="{4D4AFDD6-1368-49B9-B826-53F9E1F72F70}"/>
    <cellStyle name="40% - Accent4 2 2 4 4" xfId="10514" xr:uid="{6C1225B7-6164-4D61-8E93-65516933E393}"/>
    <cellStyle name="40% - Accent4 2 2 4 5" xfId="18961" xr:uid="{0C982B64-A976-46F0-A6D7-BF36E34153E4}"/>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CA6E8AFB-6754-49DD-A958-91546058E773}"/>
    <cellStyle name="40% - Accent4 2 2 5 2 2 3" xfId="25736" xr:uid="{DC98DF0E-2D2C-4690-958C-4CC1FEDF7FE3}"/>
    <cellStyle name="40% - Accent4 2 2 5 2 3" xfId="13072" xr:uid="{59CAD212-3023-448D-9940-B1728649B899}"/>
    <cellStyle name="40% - Accent4 2 2 5 2 4" xfId="21519" xr:uid="{1C3128FA-E1B2-4E83-BC3F-F1B6105BBDF8}"/>
    <cellStyle name="40% - Accent4 2 2 5 3" xfId="5818" xr:uid="{00000000-0005-0000-0000-0000C3050000}"/>
    <cellStyle name="40% - Accent4 2 2 5 3 2" xfId="15144" xr:uid="{04B77B2A-22F9-415E-A6E2-9D58A3E55ADB}"/>
    <cellStyle name="40% - Accent4 2 2 5 3 3" xfId="23591" xr:uid="{082E95C5-AD0A-4046-8912-7FB7E782B7E5}"/>
    <cellStyle name="40% - Accent4 2 2 5 4" xfId="10927" xr:uid="{65976FF6-823C-4076-95F7-74F2228090F7}"/>
    <cellStyle name="40% - Accent4 2 2 5 5" xfId="19374" xr:uid="{B2AD6AF3-E718-450B-AA45-158078748121}"/>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091AE3F8-0135-4CED-A13E-BE822810F8B4}"/>
    <cellStyle name="40% - Accent4 2 2 6 2 2 3" xfId="26149" xr:uid="{FC936BA5-D49C-48BA-91AA-FDE0890A66FF}"/>
    <cellStyle name="40% - Accent4 2 2 6 2 3" xfId="13485" xr:uid="{DA6F8DED-D91B-4B8A-B94F-B6A4B3120645}"/>
    <cellStyle name="40% - Accent4 2 2 6 2 4" xfId="21932" xr:uid="{9DDB74A4-F3BE-466D-BF09-593E22436CA1}"/>
    <cellStyle name="40% - Accent4 2 2 6 3" xfId="6231" xr:uid="{00000000-0005-0000-0000-0000C7050000}"/>
    <cellStyle name="40% - Accent4 2 2 6 3 2" xfId="15557" xr:uid="{1485D939-1114-4D10-BF68-53C378A122C8}"/>
    <cellStyle name="40% - Accent4 2 2 6 3 3" xfId="24004" xr:uid="{AF4605F6-B90D-48F2-8204-B868BED6AD7A}"/>
    <cellStyle name="40% - Accent4 2 2 6 4" xfId="11340" xr:uid="{E5D0C45C-6537-43B8-A0C5-35BC8ABB9D6F}"/>
    <cellStyle name="40% - Accent4 2 2 6 5" xfId="19787" xr:uid="{D7DBB490-B77C-46B5-A888-0ED6E0F8A3C1}"/>
    <cellStyle name="40% - Accent4 2 2 7" xfId="2338" xr:uid="{00000000-0005-0000-0000-0000C8050000}"/>
    <cellStyle name="40% - Accent4 2 2 7 2" xfId="6644" xr:uid="{00000000-0005-0000-0000-0000C9050000}"/>
    <cellStyle name="40% - Accent4 2 2 7 2 2" xfId="15970" xr:uid="{A11BB031-5034-41C2-BBF8-E4FF14EE7500}"/>
    <cellStyle name="40% - Accent4 2 2 7 2 3" xfId="24417" xr:uid="{2880AF4D-8F17-4421-8092-73FF3AEFA096}"/>
    <cellStyle name="40% - Accent4 2 2 7 3" xfId="11753" xr:uid="{D892DD1D-1614-4F9E-B5EC-0C121BA5F915}"/>
    <cellStyle name="40% - Accent4 2 2 7 4" xfId="20200" xr:uid="{FE5AAFBF-3722-47D9-8CEA-AC10E2851C29}"/>
    <cellStyle name="40% - Accent4 2 2 8" xfId="4578" xr:uid="{00000000-0005-0000-0000-0000CA050000}"/>
    <cellStyle name="40% - Accent4 2 2 8 2" xfId="13904" xr:uid="{7F6F5AEB-E414-4BAC-969B-4685032FD284}"/>
    <cellStyle name="40% - Accent4 2 2 8 3" xfId="22351" xr:uid="{2BE15BD7-57DC-4073-9FA2-08AA28A0C2F5}"/>
    <cellStyle name="40% - Accent4 2 2 9" xfId="8904" xr:uid="{64C959C5-2FAF-462D-88B6-14B59CDC763B}"/>
    <cellStyle name="40% - Accent4 2 3" xfId="77" xr:uid="{00000000-0005-0000-0000-0000CB050000}"/>
    <cellStyle name="40% - Accent4 2 3 10" xfId="18136" xr:uid="{1927E879-43EF-4B39-90B9-AD728F8292EC}"/>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A5C7DB0C-651E-41CF-96CF-2F26B3B67C20}"/>
    <cellStyle name="40% - Accent4 2 3 2 2 2 3" xfId="24912" xr:uid="{C18A5785-6092-4E9A-B7E6-45CCDCCC81EA}"/>
    <cellStyle name="40% - Accent4 2 3 2 2 3" xfId="12248" xr:uid="{72CCA24C-714E-4C8C-9DC4-7DAA9D7128D4}"/>
    <cellStyle name="40% - Accent4 2 3 2 2 4" xfId="20695" xr:uid="{1625D69F-9F9F-454A-9EC0-C97FAA831497}"/>
    <cellStyle name="40% - Accent4 2 3 2 3" xfId="4994" xr:uid="{00000000-0005-0000-0000-0000CF050000}"/>
    <cellStyle name="40% - Accent4 2 3 2 3 2" xfId="14320" xr:uid="{580E338E-607F-4A2B-82BB-8F4F21C8CD7E}"/>
    <cellStyle name="40% - Accent4 2 3 2 3 3" xfId="22767" xr:uid="{1B2755C6-6A49-4909-A6E3-3558BC6F671A}"/>
    <cellStyle name="40% - Accent4 2 3 2 4" xfId="9433" xr:uid="{058786D1-7E7D-40D9-9218-B4C7219F4E53}"/>
    <cellStyle name="40% - Accent4 2 3 2 5" xfId="10103" xr:uid="{2CDB04D3-99D5-4CCA-87BB-40B5CF7AB857}"/>
    <cellStyle name="40% - Accent4 2 3 2 6" xfId="18550" xr:uid="{1BE75050-3A2F-44EC-A9BF-82804E4DAA46}"/>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6C40AD11-4B96-4913-B4D4-6B1FC3967F4F}"/>
    <cellStyle name="40% - Accent4 2 3 3 2 2 3" xfId="25325" xr:uid="{71AE9DE7-8E9B-4BCB-ADA0-887C05F593CC}"/>
    <cellStyle name="40% - Accent4 2 3 3 2 3" xfId="12661" xr:uid="{3CD763BF-4B86-4DAA-B230-60BCC056E7CB}"/>
    <cellStyle name="40% - Accent4 2 3 3 2 4" xfId="21108" xr:uid="{FEB415B1-6EDA-4905-92CE-8C8C54FC5AB6}"/>
    <cellStyle name="40% - Accent4 2 3 3 3" xfId="5407" xr:uid="{00000000-0005-0000-0000-0000D3050000}"/>
    <cellStyle name="40% - Accent4 2 3 3 3 2" xfId="14733" xr:uid="{1B43FA20-6117-415B-8603-85CCA399C397}"/>
    <cellStyle name="40% - Accent4 2 3 3 3 3" xfId="23180" xr:uid="{6D5D4F81-B7F3-4739-BCA8-C9D1432AC5A9}"/>
    <cellStyle name="40% - Accent4 2 3 3 4" xfId="10516" xr:uid="{5974A683-9E3B-4B59-86EF-C2F30A23074A}"/>
    <cellStyle name="40% - Accent4 2 3 3 5" xfId="18963" xr:uid="{3B56B7D9-4EC6-4298-BC60-E391DACF1667}"/>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7DAC44E6-8BC0-4870-94B2-549FF8F3DAD4}"/>
    <cellStyle name="40% - Accent4 2 3 4 2 2 3" xfId="25738" xr:uid="{BBB52E83-71A5-42C9-A562-AB2914F75A25}"/>
    <cellStyle name="40% - Accent4 2 3 4 2 3" xfId="13074" xr:uid="{A499B3D8-6181-473A-BAF1-317B5925202C}"/>
    <cellStyle name="40% - Accent4 2 3 4 2 4" xfId="21521" xr:uid="{F85F24E5-3554-42CE-8F78-0BBDF3888055}"/>
    <cellStyle name="40% - Accent4 2 3 4 3" xfId="5820" xr:uid="{00000000-0005-0000-0000-0000D7050000}"/>
    <cellStyle name="40% - Accent4 2 3 4 3 2" xfId="15146" xr:uid="{C7C27233-9C84-4659-B026-D284525F670A}"/>
    <cellStyle name="40% - Accent4 2 3 4 3 3" xfId="23593" xr:uid="{F2268675-026F-412D-80CE-9E2E33AECBF1}"/>
    <cellStyle name="40% - Accent4 2 3 4 4" xfId="10929" xr:uid="{52E3DB61-E224-45AE-9529-E5C4E738A410}"/>
    <cellStyle name="40% - Accent4 2 3 4 5" xfId="19376" xr:uid="{269916AB-1E97-4D33-8031-31C73A199831}"/>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0B09DA0E-EE8A-4D1E-A49F-213E1591A104}"/>
    <cellStyle name="40% - Accent4 2 3 5 2 2 3" xfId="26151" xr:uid="{E1EBBCDC-679E-44BE-A1A5-84C306E4BBC4}"/>
    <cellStyle name="40% - Accent4 2 3 5 2 3" xfId="13487" xr:uid="{2506CF08-C78A-4EEB-B087-11B8A691D7B0}"/>
    <cellStyle name="40% - Accent4 2 3 5 2 4" xfId="21934" xr:uid="{255103EB-027B-46D1-B080-FC5AFFEC79DD}"/>
    <cellStyle name="40% - Accent4 2 3 5 3" xfId="6233" xr:uid="{00000000-0005-0000-0000-0000DB050000}"/>
    <cellStyle name="40% - Accent4 2 3 5 3 2" xfId="15559" xr:uid="{7E33EC19-17C2-4FB4-A640-A7D8E6F3224D}"/>
    <cellStyle name="40% - Accent4 2 3 5 3 3" xfId="24006" xr:uid="{C24C0AD3-6265-4987-A5DE-05047599CF6C}"/>
    <cellStyle name="40% - Accent4 2 3 5 4" xfId="11342" xr:uid="{04A6E2D2-808A-426A-A65D-39BA017A1E00}"/>
    <cellStyle name="40% - Accent4 2 3 5 5" xfId="19789" xr:uid="{7991F44E-4C43-4E15-BC99-C0F0809B9626}"/>
    <cellStyle name="40% - Accent4 2 3 6" xfId="2340" xr:uid="{00000000-0005-0000-0000-0000DC050000}"/>
    <cellStyle name="40% - Accent4 2 3 6 2" xfId="6646" xr:uid="{00000000-0005-0000-0000-0000DD050000}"/>
    <cellStyle name="40% - Accent4 2 3 6 2 2" xfId="15972" xr:uid="{963EAD1A-6DFF-409F-A74D-E53DC88BB837}"/>
    <cellStyle name="40% - Accent4 2 3 6 2 3" xfId="24419" xr:uid="{736B4983-F41F-4762-9A7F-100FC458A1FC}"/>
    <cellStyle name="40% - Accent4 2 3 6 3" xfId="11755" xr:uid="{7BF9700C-8FC8-43A4-AEBD-597F0F5D2EFF}"/>
    <cellStyle name="40% - Accent4 2 3 6 4" xfId="20202" xr:uid="{961CAFEF-E4D4-490A-9954-C969568FA98B}"/>
    <cellStyle name="40% - Accent4 2 3 7" xfId="4580" xr:uid="{00000000-0005-0000-0000-0000DE050000}"/>
    <cellStyle name="40% - Accent4 2 3 7 2" xfId="13906" xr:uid="{1B515288-6E4D-49F3-837B-609535ADC5FB}"/>
    <cellStyle name="40% - Accent4 2 3 7 3" xfId="22353" xr:uid="{DCA34E7A-DF4D-4438-B081-4311DE7CD5DB}"/>
    <cellStyle name="40% - Accent4 2 3 8" xfId="9008" xr:uid="{270F4CAB-C86F-4D9D-804F-69497913908B}"/>
    <cellStyle name="40% - Accent4 2 3 9" xfId="9689" xr:uid="{EEEFB5F3-0E4F-40EF-9D90-A7D9E37E357D}"/>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BDC21194-A36C-4441-8C67-5E412F85B105}"/>
    <cellStyle name="40% - Accent4 2 4 2 2 3" xfId="24909" xr:uid="{E51472FC-E0EB-4689-BDED-D22D455998FB}"/>
    <cellStyle name="40% - Accent4 2 4 2 3" xfId="12245" xr:uid="{EFB6D679-1BDE-44EB-A053-9739ABC78DC8}"/>
    <cellStyle name="40% - Accent4 2 4 2 4" xfId="20692" xr:uid="{413CDF14-058F-4470-BFA8-38267BD100E2}"/>
    <cellStyle name="40% - Accent4 2 4 3" xfId="4991" xr:uid="{00000000-0005-0000-0000-0000E2050000}"/>
    <cellStyle name="40% - Accent4 2 4 3 2" xfId="14317" xr:uid="{298BC217-0CBF-4898-843D-D582EF24246C}"/>
    <cellStyle name="40% - Accent4 2 4 3 3" xfId="22764" xr:uid="{D06AE3F2-CAA4-4A63-AE7B-8AA8656DF161}"/>
    <cellStyle name="40% - Accent4 2 4 4" xfId="9225" xr:uid="{40EEB981-54C4-40E4-A2F9-BCD479248D23}"/>
    <cellStyle name="40% - Accent4 2 4 5" xfId="10100" xr:uid="{B24682FB-A33D-4CE8-81AE-086DE95970EE}"/>
    <cellStyle name="40% - Accent4 2 4 6" xfId="18547" xr:uid="{7EE4FD27-F3A9-4023-8E98-B215B65B9154}"/>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1FC38752-9BD2-4795-AA2B-348403CA3C85}"/>
    <cellStyle name="40% - Accent4 2 5 2 2 3" xfId="25322" xr:uid="{E46D5FEE-F9AD-4332-AB02-11B780291E9B}"/>
    <cellStyle name="40% - Accent4 2 5 2 3" xfId="12658" xr:uid="{45DB802D-1D12-4C1C-A4C2-6D3134495189}"/>
    <cellStyle name="40% - Accent4 2 5 2 4" xfId="21105" xr:uid="{2F05D28F-7D80-4F75-9A4C-5610F6B4CC71}"/>
    <cellStyle name="40% - Accent4 2 5 3" xfId="5404" xr:uid="{00000000-0005-0000-0000-0000E6050000}"/>
    <cellStyle name="40% - Accent4 2 5 3 2" xfId="14730" xr:uid="{AE978A95-B458-4576-8649-10AD19649114}"/>
    <cellStyle name="40% - Accent4 2 5 3 3" xfId="23177" xr:uid="{4BDFE36B-5856-43E5-B8A0-692335E6D343}"/>
    <cellStyle name="40% - Accent4 2 5 4" xfId="10513" xr:uid="{CA99D4D7-A75D-4066-8BDF-C74E7F2C34B5}"/>
    <cellStyle name="40% - Accent4 2 5 5" xfId="18960" xr:uid="{E9333022-C182-4DD1-B91D-91FFDDCFF1A0}"/>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EBCC9F05-133F-48B1-A77D-A08ED86B2268}"/>
    <cellStyle name="40% - Accent4 2 6 2 2 3" xfId="25735" xr:uid="{991B8860-F1FD-48EE-956D-1D5439FC1D62}"/>
    <cellStyle name="40% - Accent4 2 6 2 3" xfId="13071" xr:uid="{B6C19AF6-341B-414E-AE38-CC8B32C34882}"/>
    <cellStyle name="40% - Accent4 2 6 2 4" xfId="21518" xr:uid="{B54E59B2-5E04-464F-A83C-A85100BB2723}"/>
    <cellStyle name="40% - Accent4 2 6 3" xfId="5817" xr:uid="{00000000-0005-0000-0000-0000EA050000}"/>
    <cellStyle name="40% - Accent4 2 6 3 2" xfId="15143" xr:uid="{FB1C66A7-B676-47C7-98CE-CF487B2FE327}"/>
    <cellStyle name="40% - Accent4 2 6 3 3" xfId="23590" xr:uid="{AAFA513F-6470-4854-A217-B3AFA263679A}"/>
    <cellStyle name="40% - Accent4 2 6 4" xfId="10926" xr:uid="{088214CD-4C1D-4307-ADE7-E256434E0C94}"/>
    <cellStyle name="40% - Accent4 2 6 5" xfId="19373" xr:uid="{AB9BD5C1-6C21-4E52-879C-8B51923CBE6B}"/>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9DE2221A-5578-46B9-ACD3-C3468CC26867}"/>
    <cellStyle name="40% - Accent4 2 7 2 2 3" xfId="26148" xr:uid="{C614FFF3-B0FB-4ADA-A3DE-AE10EE21B1BB}"/>
    <cellStyle name="40% - Accent4 2 7 2 3" xfId="13484" xr:uid="{C5718598-80B0-446F-95DA-602FA079BA3D}"/>
    <cellStyle name="40% - Accent4 2 7 2 4" xfId="21931" xr:uid="{541215B9-A19E-40B5-B26D-D81D8983FCE8}"/>
    <cellStyle name="40% - Accent4 2 7 3" xfId="6230" xr:uid="{00000000-0005-0000-0000-0000EE050000}"/>
    <cellStyle name="40% - Accent4 2 7 3 2" xfId="15556" xr:uid="{0AE9D932-E128-4CE6-B06A-E5F074437E4E}"/>
    <cellStyle name="40% - Accent4 2 7 3 3" xfId="24003" xr:uid="{57E6F6D9-DD21-4D7E-BD15-0E509F136493}"/>
    <cellStyle name="40% - Accent4 2 7 4" xfId="11339" xr:uid="{98477454-7C54-47AF-80F3-B169E962790B}"/>
    <cellStyle name="40% - Accent4 2 7 5" xfId="19786" xr:uid="{B3C4EF49-6779-45AF-A83D-6690B653655A}"/>
    <cellStyle name="40% - Accent4 2 8" xfId="2337" xr:uid="{00000000-0005-0000-0000-0000EF050000}"/>
    <cellStyle name="40% - Accent4 2 8 2" xfId="6643" xr:uid="{00000000-0005-0000-0000-0000F0050000}"/>
    <cellStyle name="40% - Accent4 2 8 2 2" xfId="15969" xr:uid="{57EA2DBC-BB8F-4D7F-AD8D-C5ACC0922057}"/>
    <cellStyle name="40% - Accent4 2 8 2 3" xfId="24416" xr:uid="{A10E2A06-7B0B-4B7B-9839-E8546BAFE4EA}"/>
    <cellStyle name="40% - Accent4 2 8 3" xfId="11752" xr:uid="{2962A1A7-96FA-4CC5-9191-17CEE31EF58F}"/>
    <cellStyle name="40% - Accent4 2 8 4" xfId="20199" xr:uid="{9EFD42D5-8A99-4607-9C2B-F576BD1C0FA8}"/>
    <cellStyle name="40% - Accent4 2 9" xfId="4577" xr:uid="{00000000-0005-0000-0000-0000F1050000}"/>
    <cellStyle name="40% - Accent4 2 9 2" xfId="13903" xr:uid="{E2CB51DE-4213-4CB8-BA09-2EA041097305}"/>
    <cellStyle name="40% - Accent4 2 9 3" xfId="22350" xr:uid="{89D59EEE-3141-4D10-910D-367A10B37006}"/>
    <cellStyle name="40% - Accent4 3" xfId="78" xr:uid="{00000000-0005-0000-0000-0000F2050000}"/>
    <cellStyle name="40% - Accent4 3 10" xfId="9690" xr:uid="{12EF2FFA-4F93-4904-91F5-6BFB5373C061}"/>
    <cellStyle name="40% - Accent4 3 11" xfId="18137" xr:uid="{2EBC1A2A-4A32-4306-B52D-1ECC306DAD0D}"/>
    <cellStyle name="40% - Accent4 3 2" xfId="79" xr:uid="{00000000-0005-0000-0000-0000F3050000}"/>
    <cellStyle name="40% - Accent4 3 2 10" xfId="18138" xr:uid="{7D14617A-DD12-4F48-A4ED-C4091026B822}"/>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C97F85EC-B28D-47CD-8992-114C28FF71FA}"/>
    <cellStyle name="40% - Accent4 3 2 2 2 2 3" xfId="24914" xr:uid="{80386501-A48D-4904-9801-E6FF941E18CC}"/>
    <cellStyle name="40% - Accent4 3 2 2 2 3" xfId="12250" xr:uid="{A39A0A9F-A1A5-4505-95D6-668F50F6490D}"/>
    <cellStyle name="40% - Accent4 3 2 2 2 4" xfId="20697" xr:uid="{A5238234-0868-4C06-8C68-C020E5D38419}"/>
    <cellStyle name="40% - Accent4 3 2 2 3" xfId="4996" xr:uid="{00000000-0005-0000-0000-0000F7050000}"/>
    <cellStyle name="40% - Accent4 3 2 2 3 2" xfId="14322" xr:uid="{2DB16B92-7636-4CC8-AC19-9351122D603F}"/>
    <cellStyle name="40% - Accent4 3 2 2 3 3" xfId="22769" xr:uid="{2AA83189-C462-4E7C-A09D-363941D1B7D5}"/>
    <cellStyle name="40% - Accent4 3 2 2 4" xfId="9500" xr:uid="{EAAAC99F-A3A1-40FB-B78D-6862EF121B7A}"/>
    <cellStyle name="40% - Accent4 3 2 2 5" xfId="10105" xr:uid="{2D20A0FC-0A16-4B63-85E7-218742505CC6}"/>
    <cellStyle name="40% - Accent4 3 2 2 6" xfId="18552" xr:uid="{572118ED-5F2D-445E-9FCD-A2E3CD6BA6B7}"/>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62A06EFA-2C2E-4036-B67C-1A9F0412F242}"/>
    <cellStyle name="40% - Accent4 3 2 3 2 2 3" xfId="25327" xr:uid="{7EC81418-80E7-47DE-953C-5554F652C2B7}"/>
    <cellStyle name="40% - Accent4 3 2 3 2 3" xfId="12663" xr:uid="{5ED82AF3-CCBD-4CD4-BD12-9DFC7D6E94DF}"/>
    <cellStyle name="40% - Accent4 3 2 3 2 4" xfId="21110" xr:uid="{4555F123-3348-4D57-B676-7B22686480CA}"/>
    <cellStyle name="40% - Accent4 3 2 3 3" xfId="5409" xr:uid="{00000000-0005-0000-0000-0000FB050000}"/>
    <cellStyle name="40% - Accent4 3 2 3 3 2" xfId="14735" xr:uid="{E8F0EC32-5D62-47E6-AB06-9B8EE9744068}"/>
    <cellStyle name="40% - Accent4 3 2 3 3 3" xfId="23182" xr:uid="{BC2A72C4-0714-40D7-A963-13E22132B500}"/>
    <cellStyle name="40% - Accent4 3 2 3 4" xfId="10518" xr:uid="{1DBEEC5D-6743-424D-A4B3-5F06BBE33FE3}"/>
    <cellStyle name="40% - Accent4 3 2 3 5" xfId="18965" xr:uid="{F23101F8-CE39-4243-87BA-33B01FB86723}"/>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555321C4-3725-4E7C-A90C-A86926687ED2}"/>
    <cellStyle name="40% - Accent4 3 2 4 2 2 3" xfId="25740" xr:uid="{D62F5784-B5D3-49F7-920E-A81A9CE0F959}"/>
    <cellStyle name="40% - Accent4 3 2 4 2 3" xfId="13076" xr:uid="{FB61DC63-BD36-4E77-AFF8-2CB9420B15D4}"/>
    <cellStyle name="40% - Accent4 3 2 4 2 4" xfId="21523" xr:uid="{2F99E7C3-52E4-4F9F-BC42-70BA318520B6}"/>
    <cellStyle name="40% - Accent4 3 2 4 3" xfId="5822" xr:uid="{00000000-0005-0000-0000-0000FF050000}"/>
    <cellStyle name="40% - Accent4 3 2 4 3 2" xfId="15148" xr:uid="{7F447310-6938-489A-9B2A-FD55ADCBB173}"/>
    <cellStyle name="40% - Accent4 3 2 4 3 3" xfId="23595" xr:uid="{958447E9-5768-4353-8D7E-FF163FE0D75D}"/>
    <cellStyle name="40% - Accent4 3 2 4 4" xfId="10931" xr:uid="{A6BF904B-F112-41A1-B9D7-C8C93990D950}"/>
    <cellStyle name="40% - Accent4 3 2 4 5" xfId="19378" xr:uid="{B4BA506B-087F-436D-8509-C7F0C449794C}"/>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4CC24D0D-37B3-435F-BF63-3498B9AAF863}"/>
    <cellStyle name="40% - Accent4 3 2 5 2 2 3" xfId="26153" xr:uid="{43F00510-04CD-4FAA-8073-D7E1D212544E}"/>
    <cellStyle name="40% - Accent4 3 2 5 2 3" xfId="13489" xr:uid="{2D16E637-AF03-4405-BC00-912EB76E61D0}"/>
    <cellStyle name="40% - Accent4 3 2 5 2 4" xfId="21936" xr:uid="{7B270569-141C-479F-AC7B-55453CDD122B}"/>
    <cellStyle name="40% - Accent4 3 2 5 3" xfId="6235" xr:uid="{00000000-0005-0000-0000-000003060000}"/>
    <cellStyle name="40% - Accent4 3 2 5 3 2" xfId="15561" xr:uid="{E39F2BFD-064D-4570-AA8A-67CFBB718F0D}"/>
    <cellStyle name="40% - Accent4 3 2 5 3 3" xfId="24008" xr:uid="{52915551-DE6A-4CD7-A562-F6493FB5DCF9}"/>
    <cellStyle name="40% - Accent4 3 2 5 4" xfId="11344" xr:uid="{F799B57D-B8A8-4793-8519-7E1B23FADBDE}"/>
    <cellStyle name="40% - Accent4 3 2 5 5" xfId="19791" xr:uid="{269C06D2-5FC7-41D6-93B1-4947D8C68E22}"/>
    <cellStyle name="40% - Accent4 3 2 6" xfId="2342" xr:uid="{00000000-0005-0000-0000-000004060000}"/>
    <cellStyle name="40% - Accent4 3 2 6 2" xfId="6648" xr:uid="{00000000-0005-0000-0000-000005060000}"/>
    <cellStyle name="40% - Accent4 3 2 6 2 2" xfId="15974" xr:uid="{67E7EB0A-FCCD-4A3A-9A52-C239C33DC962}"/>
    <cellStyle name="40% - Accent4 3 2 6 2 3" xfId="24421" xr:uid="{47137D0A-B5B4-4129-834D-669B2A10B9A6}"/>
    <cellStyle name="40% - Accent4 3 2 6 3" xfId="11757" xr:uid="{ECBF74F0-A21E-4F7C-BC04-BE9807E3EF26}"/>
    <cellStyle name="40% - Accent4 3 2 6 4" xfId="20204" xr:uid="{D52BF45A-C2DF-46EA-B6DE-362D84A7BAA9}"/>
    <cellStyle name="40% - Accent4 3 2 7" xfId="4582" xr:uid="{00000000-0005-0000-0000-000006060000}"/>
    <cellStyle name="40% - Accent4 3 2 7 2" xfId="13908" xr:uid="{0E2809D1-BE9F-4E65-BB8C-E5EE25AA1973}"/>
    <cellStyle name="40% - Accent4 3 2 7 3" xfId="22355" xr:uid="{0656CCFE-3295-455C-9C0D-9112F6CF5216}"/>
    <cellStyle name="40% - Accent4 3 2 8" xfId="9075" xr:uid="{6C51FF47-5618-4E1E-BC97-01FFF287A6C3}"/>
    <cellStyle name="40% - Accent4 3 2 9" xfId="9691" xr:uid="{45947C73-2E93-4005-A5CB-A385B977A568}"/>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E793E0BA-21A2-41B9-811D-1649B180F3B3}"/>
    <cellStyle name="40% - Accent4 3 3 2 2 3" xfId="24913" xr:uid="{F149E1A5-2A01-4CBE-B868-867AFE00881D}"/>
    <cellStyle name="40% - Accent4 3 3 2 3" xfId="12249" xr:uid="{EA8AFDF4-D501-4C58-8D2E-C36985D9C56E}"/>
    <cellStyle name="40% - Accent4 3 3 2 4" xfId="20696" xr:uid="{1C77CACF-86C6-4615-9F6E-0336C9F0AC37}"/>
    <cellStyle name="40% - Accent4 3 3 3" xfId="4995" xr:uid="{00000000-0005-0000-0000-00000A060000}"/>
    <cellStyle name="40% - Accent4 3 3 3 2" xfId="14321" xr:uid="{BC47DB11-5D8E-4638-BC6A-5407B0BE7D52}"/>
    <cellStyle name="40% - Accent4 3 3 3 3" xfId="22768" xr:uid="{E772DD3A-65E6-43D0-84E1-51E94A312F82}"/>
    <cellStyle name="40% - Accent4 3 3 4" xfId="9293" xr:uid="{4A28D7F5-3617-45DC-A350-6C6596CDA765}"/>
    <cellStyle name="40% - Accent4 3 3 5" xfId="10104" xr:uid="{2E365D67-51C3-4965-84FF-864A6C93521C}"/>
    <cellStyle name="40% - Accent4 3 3 6" xfId="18551" xr:uid="{C33E3BE6-1350-495E-8696-B2E07AE6F0B1}"/>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58047753-8E22-4270-8D17-37E7DF2E06AE}"/>
    <cellStyle name="40% - Accent4 3 4 2 2 3" xfId="25326" xr:uid="{FDF2C475-ECA2-4AF3-845B-88068651599E}"/>
    <cellStyle name="40% - Accent4 3 4 2 3" xfId="12662" xr:uid="{88B421F6-38A5-4EE4-89BA-DE2617BDE30F}"/>
    <cellStyle name="40% - Accent4 3 4 2 4" xfId="21109" xr:uid="{E4D5FE1B-3B4C-4C9B-BDBC-2450E550E4D0}"/>
    <cellStyle name="40% - Accent4 3 4 3" xfId="5408" xr:uid="{00000000-0005-0000-0000-00000E060000}"/>
    <cellStyle name="40% - Accent4 3 4 3 2" xfId="14734" xr:uid="{1DF1B185-8968-432E-BBA7-0E7274688132}"/>
    <cellStyle name="40% - Accent4 3 4 3 3" xfId="23181" xr:uid="{36E8D5EF-EEF5-400C-B67B-5F2802E31C23}"/>
    <cellStyle name="40% - Accent4 3 4 4" xfId="10517" xr:uid="{389F42A6-B70B-4521-92E1-4FF07E742E22}"/>
    <cellStyle name="40% - Accent4 3 4 5" xfId="18964" xr:uid="{6F3B4F42-FFF1-4772-BCCB-D024DBA65303}"/>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B36A3E1E-8E73-43D8-8AC5-D47C070576FF}"/>
    <cellStyle name="40% - Accent4 3 5 2 2 3" xfId="25739" xr:uid="{A01663E9-621A-4D95-BE41-B49BEDA89ADB}"/>
    <cellStyle name="40% - Accent4 3 5 2 3" xfId="13075" xr:uid="{263A84F9-3BBC-4D67-A2C0-7F1BDA9491D4}"/>
    <cellStyle name="40% - Accent4 3 5 2 4" xfId="21522" xr:uid="{FC58D25D-FC93-47CE-9E2D-9D3500107EDB}"/>
    <cellStyle name="40% - Accent4 3 5 3" xfId="5821" xr:uid="{00000000-0005-0000-0000-000012060000}"/>
    <cellStyle name="40% - Accent4 3 5 3 2" xfId="15147" xr:uid="{AA03131F-E51B-4592-A5E1-83AD52D4D334}"/>
    <cellStyle name="40% - Accent4 3 5 3 3" xfId="23594" xr:uid="{BD9506E9-72C8-432C-A0BC-C840A52B113C}"/>
    <cellStyle name="40% - Accent4 3 5 4" xfId="10930" xr:uid="{E0ED507D-D471-4A83-BF04-ADEDD22F454F}"/>
    <cellStyle name="40% - Accent4 3 5 5" xfId="19377" xr:uid="{9BDD0286-2864-42CD-A146-0D6956650CCA}"/>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9BE861A3-2A62-4CA5-9D3F-5C968BACD32E}"/>
    <cellStyle name="40% - Accent4 3 6 2 2 3" xfId="26152" xr:uid="{1B935A79-27F3-4FED-B0C3-231EC09E070D}"/>
    <cellStyle name="40% - Accent4 3 6 2 3" xfId="13488" xr:uid="{0A6D9ED0-F80C-4D63-8E3C-BF5EEA832AED}"/>
    <cellStyle name="40% - Accent4 3 6 2 4" xfId="21935" xr:uid="{371578F8-9E2B-4D21-B7FB-C57BC60AAAE6}"/>
    <cellStyle name="40% - Accent4 3 6 3" xfId="6234" xr:uid="{00000000-0005-0000-0000-000016060000}"/>
    <cellStyle name="40% - Accent4 3 6 3 2" xfId="15560" xr:uid="{4AC43AD5-0460-40D1-B351-4502736F069B}"/>
    <cellStyle name="40% - Accent4 3 6 3 3" xfId="24007" xr:uid="{928F40B2-79B5-45F5-A974-AF5682FE3A2A}"/>
    <cellStyle name="40% - Accent4 3 6 4" xfId="11343" xr:uid="{9545B02F-7AFF-4A00-86CF-72B3F2C3B40C}"/>
    <cellStyle name="40% - Accent4 3 6 5" xfId="19790" xr:uid="{97A16DFF-4836-4945-8FC4-D1946891F46A}"/>
    <cellStyle name="40% - Accent4 3 7" xfId="2341" xr:uid="{00000000-0005-0000-0000-000017060000}"/>
    <cellStyle name="40% - Accent4 3 7 2" xfId="6647" xr:uid="{00000000-0005-0000-0000-000018060000}"/>
    <cellStyle name="40% - Accent4 3 7 2 2" xfId="15973" xr:uid="{DA115A7A-A81E-4436-B124-7A7482BF6749}"/>
    <cellStyle name="40% - Accent4 3 7 2 3" xfId="24420" xr:uid="{9EEF9CA9-1FBB-49DE-9D47-BF9E9CA1C3B3}"/>
    <cellStyle name="40% - Accent4 3 7 3" xfId="11756" xr:uid="{4B06362A-F377-4F33-A465-978BB6C6467E}"/>
    <cellStyle name="40% - Accent4 3 7 4" xfId="20203" xr:uid="{6756AE70-EAAD-4F1E-A077-95C643F00C86}"/>
    <cellStyle name="40% - Accent4 3 8" xfId="4581" xr:uid="{00000000-0005-0000-0000-000019060000}"/>
    <cellStyle name="40% - Accent4 3 8 2" xfId="13907" xr:uid="{3BBE0E27-8054-442D-BD62-79D024215C5A}"/>
    <cellStyle name="40% - Accent4 3 8 3" xfId="22354" xr:uid="{7B7FF44A-59FD-449B-92EB-B335C4A8E596}"/>
    <cellStyle name="40% - Accent4 3 9" xfId="8868" xr:uid="{538D9F50-ACCA-4DB0-A3F1-A129ACFFA0BF}"/>
    <cellStyle name="40% - Accent4 4" xfId="80" xr:uid="{00000000-0005-0000-0000-00001A060000}"/>
    <cellStyle name="40% - Accent4 4 10" xfId="18139" xr:uid="{61BB11B2-1FD7-4E3B-A23E-5A2DA3DBFB7D}"/>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CB11742E-363A-4743-BAE4-33AE272801D0}"/>
    <cellStyle name="40% - Accent4 4 2 2 2 3" xfId="24915" xr:uid="{BC73E99C-0BCD-48A4-89EA-07B1E5F36E3F}"/>
    <cellStyle name="40% - Accent4 4 2 2 3" xfId="12251" xr:uid="{F5536A54-A25A-4B5A-B117-C78ED02AAEAE}"/>
    <cellStyle name="40% - Accent4 4 2 2 4" xfId="20698" xr:uid="{56E35E91-38C7-479F-AD7A-5F09398EAE2B}"/>
    <cellStyle name="40% - Accent4 4 2 3" xfId="4997" xr:uid="{00000000-0005-0000-0000-00001E060000}"/>
    <cellStyle name="40% - Accent4 4 2 3 2" xfId="14323" xr:uid="{B2D83796-D282-4A8F-8BA5-E93E1BA316EE}"/>
    <cellStyle name="40% - Accent4 4 2 3 3" xfId="22770" xr:uid="{71E57A0B-4D37-4EA6-9C04-CCE1F3CFD3AE}"/>
    <cellStyle name="40% - Accent4 4 2 4" xfId="9379" xr:uid="{EE31EAE0-1741-4D6E-B7B4-C5DB59044F55}"/>
    <cellStyle name="40% - Accent4 4 2 5" xfId="10106" xr:uid="{49B669DB-356D-4E45-92C0-3230CA9701F6}"/>
    <cellStyle name="40% - Accent4 4 2 6" xfId="18553" xr:uid="{4F4B193F-6370-4760-903C-1D772FD502FA}"/>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B1C61651-B46B-4AA8-97A9-6162D9D2B376}"/>
    <cellStyle name="40% - Accent4 4 3 2 2 3" xfId="25328" xr:uid="{33FF679E-881C-4F92-A0AA-676D3C309B01}"/>
    <cellStyle name="40% - Accent4 4 3 2 3" xfId="12664" xr:uid="{86B112C5-4BF6-4A9C-84C1-9EFF424FC8F9}"/>
    <cellStyle name="40% - Accent4 4 3 2 4" xfId="21111" xr:uid="{F5C08DB3-1D84-4673-A04A-7695CCD8308E}"/>
    <cellStyle name="40% - Accent4 4 3 3" xfId="5410" xr:uid="{00000000-0005-0000-0000-000022060000}"/>
    <cellStyle name="40% - Accent4 4 3 3 2" xfId="14736" xr:uid="{7D2863E4-07A3-4C36-87C1-6E8754EF6BCA}"/>
    <cellStyle name="40% - Accent4 4 3 3 3" xfId="23183" xr:uid="{0AADD38A-417B-4281-8BAA-CBDEDE39D6DF}"/>
    <cellStyle name="40% - Accent4 4 3 4" xfId="10519" xr:uid="{667F36D0-E279-4A48-A4CA-878E8003507C}"/>
    <cellStyle name="40% - Accent4 4 3 5" xfId="18966" xr:uid="{9C95C4CC-B043-406C-AC6A-96AAE1004BAA}"/>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4C2432E4-BCC9-4AB4-BFF6-3B80D8E36725}"/>
    <cellStyle name="40% - Accent4 4 4 2 2 3" xfId="25741" xr:uid="{09D464A9-3AFB-46CB-ACCD-EC34EE7F330B}"/>
    <cellStyle name="40% - Accent4 4 4 2 3" xfId="13077" xr:uid="{EA628D40-F7EF-4FA6-90E6-657CC30C62BB}"/>
    <cellStyle name="40% - Accent4 4 4 2 4" xfId="21524" xr:uid="{133D78AE-75E5-40EF-A6B1-D449DC7FDEFC}"/>
    <cellStyle name="40% - Accent4 4 4 3" xfId="5823" xr:uid="{00000000-0005-0000-0000-000026060000}"/>
    <cellStyle name="40% - Accent4 4 4 3 2" xfId="15149" xr:uid="{8A1BC947-5E5E-408A-AEE4-1C6190418E71}"/>
    <cellStyle name="40% - Accent4 4 4 3 3" xfId="23596" xr:uid="{280C5404-9E0B-473E-943F-6449BD87419F}"/>
    <cellStyle name="40% - Accent4 4 4 4" xfId="10932" xr:uid="{8E7C80C9-6539-4FBC-AEEA-7953E3B70184}"/>
    <cellStyle name="40% - Accent4 4 4 5" xfId="19379" xr:uid="{A8B665A4-3E68-42AA-909F-FDE51293A431}"/>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F2AFA481-274F-4D65-B633-90DD907D4BF6}"/>
    <cellStyle name="40% - Accent4 4 5 2 2 3" xfId="26154" xr:uid="{3EC67195-F362-4BC4-99AD-524DE7ED59B2}"/>
    <cellStyle name="40% - Accent4 4 5 2 3" xfId="13490" xr:uid="{97474835-5043-4BF4-8FFD-FFB441BD76EA}"/>
    <cellStyle name="40% - Accent4 4 5 2 4" xfId="21937" xr:uid="{A6B568C4-E792-4982-8DD2-B83F1B2CEB9F}"/>
    <cellStyle name="40% - Accent4 4 5 3" xfId="6236" xr:uid="{00000000-0005-0000-0000-00002A060000}"/>
    <cellStyle name="40% - Accent4 4 5 3 2" xfId="15562" xr:uid="{BDDA84A0-DFDA-45C2-AAE6-D3DAAC1DD26D}"/>
    <cellStyle name="40% - Accent4 4 5 3 3" xfId="24009" xr:uid="{88533E76-FB0C-44F6-A689-E0781A0B7413}"/>
    <cellStyle name="40% - Accent4 4 5 4" xfId="11345" xr:uid="{53318EDC-7C4D-4590-9B24-D3297FA5F0E3}"/>
    <cellStyle name="40% - Accent4 4 5 5" xfId="19792" xr:uid="{CA84BFF1-A024-4DB0-961B-0D3FB40488C2}"/>
    <cellStyle name="40% - Accent4 4 6" xfId="2343" xr:uid="{00000000-0005-0000-0000-00002B060000}"/>
    <cellStyle name="40% - Accent4 4 6 2" xfId="6649" xr:uid="{00000000-0005-0000-0000-00002C060000}"/>
    <cellStyle name="40% - Accent4 4 6 2 2" xfId="15975" xr:uid="{F0247448-E72D-4023-BA95-0DE6B05A2593}"/>
    <cellStyle name="40% - Accent4 4 6 2 3" xfId="24422" xr:uid="{E0402C7B-8952-4B1A-8941-212F3F0B6573}"/>
    <cellStyle name="40% - Accent4 4 6 3" xfId="11758" xr:uid="{14B359E4-D7D9-45E2-BD24-1F2360551F2A}"/>
    <cellStyle name="40% - Accent4 4 6 4" xfId="20205" xr:uid="{B3318681-CBE0-4657-83CB-0036F36726B5}"/>
    <cellStyle name="40% - Accent4 4 7" xfId="4583" xr:uid="{00000000-0005-0000-0000-00002D060000}"/>
    <cellStyle name="40% - Accent4 4 7 2" xfId="13909" xr:uid="{E66D1AEF-2190-416C-AE01-728822032E00}"/>
    <cellStyle name="40% - Accent4 4 7 3" xfId="22356" xr:uid="{4F23DE86-C35D-40A8-97B7-CA241E289AA8}"/>
    <cellStyle name="40% - Accent4 4 8" xfId="8954" xr:uid="{2C178683-58B3-4513-85E7-15FAC3AC035D}"/>
    <cellStyle name="40% - Accent4 4 9" xfId="9692" xr:uid="{FA9A538B-2E22-4610-8E09-B5E3A175AE09}"/>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FAA7A0F6-970E-47FF-B3CA-F8264BDE08D7}"/>
    <cellStyle name="40% - Accent4 5 2 2 3" xfId="24908" xr:uid="{FC8D129A-3B09-4C34-AB9A-4EED609D66E0}"/>
    <cellStyle name="40% - Accent4 5 2 3" xfId="12244" xr:uid="{50B9A1E2-9FC3-4CB9-B0B9-31AF9BFBFF7A}"/>
    <cellStyle name="40% - Accent4 5 2 4" xfId="20691" xr:uid="{01B614BB-67A0-491C-A0B9-4A3FF5B47157}"/>
    <cellStyle name="40% - Accent4 5 3" xfId="4990" xr:uid="{00000000-0005-0000-0000-000031060000}"/>
    <cellStyle name="40% - Accent4 5 3 2" xfId="14316" xr:uid="{3D10CF48-7935-4F21-AA56-3855643D3D95}"/>
    <cellStyle name="40% - Accent4 5 3 3" xfId="22763" xr:uid="{9D814C58-35F6-4A40-BAAD-405A33579906}"/>
    <cellStyle name="40% - Accent4 5 4" xfId="9187" xr:uid="{33022C89-0CDD-4091-8005-358F63FF8F46}"/>
    <cellStyle name="40% - Accent4 5 5" xfId="10099" xr:uid="{86DED5C4-07E6-450B-8B63-6F094C41D69B}"/>
    <cellStyle name="40% - Accent4 5 6" xfId="18546" xr:uid="{EDCBA3D0-90BB-4834-88DE-17A4F2086AF4}"/>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6D7BBE5B-266D-44C0-8657-842C517A43E2}"/>
    <cellStyle name="40% - Accent4 6 2 2 3" xfId="25321" xr:uid="{C65C04F3-7EB6-4DB9-8E4F-2F5AF3C97A23}"/>
    <cellStyle name="40% - Accent4 6 2 3" xfId="12657" xr:uid="{163A72E0-1F75-44EC-99A2-30E604E3E595}"/>
    <cellStyle name="40% - Accent4 6 2 4" xfId="21104" xr:uid="{3F00B554-4B56-41B1-8EDE-7C80EA72B23C}"/>
    <cellStyle name="40% - Accent4 6 3" xfId="5403" xr:uid="{00000000-0005-0000-0000-000035060000}"/>
    <cellStyle name="40% - Accent4 6 3 2" xfId="14729" xr:uid="{9F13CEA6-8EC7-4F63-800B-DFB2CEA9B893}"/>
    <cellStyle name="40% - Accent4 6 3 3" xfId="23176" xr:uid="{362765A4-A127-4071-86E2-654892E79471}"/>
    <cellStyle name="40% - Accent4 6 4" xfId="10512" xr:uid="{3EC76CE9-1944-4D1B-A0CE-066CCF015544}"/>
    <cellStyle name="40% - Accent4 6 5" xfId="18959" xr:uid="{FB7C4130-7332-4D04-84E4-B6ACFD1E3634}"/>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83DF5BF8-A866-460D-ADCC-0AA476FE766F}"/>
    <cellStyle name="40% - Accent4 7 2 2 3" xfId="25734" xr:uid="{0E103D80-BAEB-499B-9D49-694E1F8FA136}"/>
    <cellStyle name="40% - Accent4 7 2 3" xfId="13070" xr:uid="{EF1ABE50-391C-440E-9054-81CD62DEC5B6}"/>
    <cellStyle name="40% - Accent4 7 2 4" xfId="21517" xr:uid="{C82CA453-3243-475C-AA2D-7B45891984D1}"/>
    <cellStyle name="40% - Accent4 7 3" xfId="5816" xr:uid="{00000000-0005-0000-0000-000039060000}"/>
    <cellStyle name="40% - Accent4 7 3 2" xfId="15142" xr:uid="{005D78D3-0837-453E-AAAE-26E6B0CFBCCC}"/>
    <cellStyle name="40% - Accent4 7 3 3" xfId="23589" xr:uid="{D657DA36-4AAC-4A5A-BC89-DAB3047C99AC}"/>
    <cellStyle name="40% - Accent4 7 4" xfId="10925" xr:uid="{6B02FA28-AD6C-4EB1-9B84-A74063D9EC71}"/>
    <cellStyle name="40% - Accent4 7 5" xfId="19372" xr:uid="{A06162C4-3EB6-4E25-B727-DA88A59A4286}"/>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C4E72F47-3228-4E98-83C9-F3F22C88B60B}"/>
    <cellStyle name="40% - Accent4 8 2 2 3" xfId="26147" xr:uid="{5E0554BF-C31E-4DD8-94CD-7D9F0808C84B}"/>
    <cellStyle name="40% - Accent4 8 2 3" xfId="13483" xr:uid="{2528B00D-8EB2-494C-8B59-240D77D3A097}"/>
    <cellStyle name="40% - Accent4 8 2 4" xfId="21930" xr:uid="{65673E28-C9D4-47C2-9296-2BCAD56CBA98}"/>
    <cellStyle name="40% - Accent4 8 3" xfId="6229" xr:uid="{00000000-0005-0000-0000-00003D060000}"/>
    <cellStyle name="40% - Accent4 8 3 2" xfId="15555" xr:uid="{2D8E8908-365C-4306-A576-836BF89AD131}"/>
    <cellStyle name="40% - Accent4 8 3 3" xfId="24002" xr:uid="{06A0FB76-C794-4F7D-BDC1-4F7BCCDDADCC}"/>
    <cellStyle name="40% - Accent4 8 4" xfId="11338" xr:uid="{D5B40005-95D8-4571-99EF-13D210FD11A8}"/>
    <cellStyle name="40% - Accent4 8 5" xfId="19785" xr:uid="{AEF5075F-FE8F-4CDC-8829-E24724EFC99A}"/>
    <cellStyle name="40% - Accent4 9" xfId="2336" xr:uid="{00000000-0005-0000-0000-00003E060000}"/>
    <cellStyle name="40% - Accent4 9 2" xfId="6642" xr:uid="{00000000-0005-0000-0000-00003F060000}"/>
    <cellStyle name="40% - Accent4 9 2 2" xfId="15968" xr:uid="{5D4D7B24-5A7A-4C61-B2B7-F0546F1717BC}"/>
    <cellStyle name="40% - Accent4 9 2 3" xfId="24415" xr:uid="{9CFCBE6B-AB80-434F-9065-31455CB2DCC9}"/>
    <cellStyle name="40% - Accent4 9 3" xfId="11751" xr:uid="{977503CC-3052-42DF-9793-FB0D37F907D1}"/>
    <cellStyle name="40% - Accent4 9 4" xfId="20198" xr:uid="{D69CD117-F526-46C1-A696-6B6209FFDDA5}"/>
    <cellStyle name="40% - Accent5" xfId="81" builtinId="47" customBuiltin="1"/>
    <cellStyle name="40% - Accent5 10" xfId="4584" xr:uid="{00000000-0005-0000-0000-000041060000}"/>
    <cellStyle name="40% - Accent5 10 2" xfId="13910" xr:uid="{C7EDE48A-B2A3-47D0-9A70-77A26217DA1D}"/>
    <cellStyle name="40% - Accent5 10 3" xfId="22357" xr:uid="{F4084A3A-1890-479D-B30F-F5FE42991767}"/>
    <cellStyle name="40% - Accent5 11" xfId="8767" xr:uid="{7A46ADF8-3420-4D4A-A3FE-8E96F0FA38E7}"/>
    <cellStyle name="40% - Accent5 12" xfId="9693" xr:uid="{BCD2273F-DC19-4AB0-AC5B-A47A64D384CB}"/>
    <cellStyle name="40% - Accent5 13" xfId="18140" xr:uid="{D4C9ECA3-E649-4520-80DB-E767863EB160}"/>
    <cellStyle name="40% - Accent5 2" xfId="82" xr:uid="{00000000-0005-0000-0000-000042060000}"/>
    <cellStyle name="40% - Accent5 2 10" xfId="8802" xr:uid="{CF9BFF45-99AC-47A3-8B01-051C55FBB24D}"/>
    <cellStyle name="40% - Accent5 2 11" xfId="9694" xr:uid="{4AA99BF0-9B1B-4745-AC7E-209499D3CFF1}"/>
    <cellStyle name="40% - Accent5 2 12" xfId="18141" xr:uid="{825735DD-2A65-4EBF-8B23-3385F9FB0335}"/>
    <cellStyle name="40% - Accent5 2 2" xfId="83" xr:uid="{00000000-0005-0000-0000-000043060000}"/>
    <cellStyle name="40% - Accent5 2 2 10" xfId="9695" xr:uid="{328C1D34-CDA3-41CC-83E0-E0E574FBC2EE}"/>
    <cellStyle name="40% - Accent5 2 2 11" xfId="18142" xr:uid="{10E155B6-863E-4663-BCA1-9C3CF0AF2226}"/>
    <cellStyle name="40% - Accent5 2 2 2" xfId="84" xr:uid="{00000000-0005-0000-0000-000044060000}"/>
    <cellStyle name="40% - Accent5 2 2 2 10" xfId="18143" xr:uid="{E4BECF05-867B-4595-91F0-49DB1CEB3BB2}"/>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D843E8B8-B1D1-4001-A3FD-43B259683C19}"/>
    <cellStyle name="40% - Accent5 2 2 2 2 2 2 3" xfId="24919" xr:uid="{9F737B8F-F92C-42EC-847E-FBBF1EF77ED9}"/>
    <cellStyle name="40% - Accent5 2 2 2 2 2 3" xfId="12255" xr:uid="{711A4859-E61D-4A63-88A6-9B073E0F06A1}"/>
    <cellStyle name="40% - Accent5 2 2 2 2 2 4" xfId="20702" xr:uid="{E10D66FF-FE67-40A9-BFA0-AD784EB62F74}"/>
    <cellStyle name="40% - Accent5 2 2 2 2 3" xfId="5001" xr:uid="{00000000-0005-0000-0000-000048060000}"/>
    <cellStyle name="40% - Accent5 2 2 2 2 3 2" xfId="14327" xr:uid="{61FAB307-2F1E-483A-B313-7B5842101CD3}"/>
    <cellStyle name="40% - Accent5 2 2 2 2 3 3" xfId="22774" xr:uid="{15DA76F0-6E16-45F1-BC8E-D1F2967DF92B}"/>
    <cellStyle name="40% - Accent5 2 2 2 2 4" xfId="9537" xr:uid="{83834145-5D3F-4083-A609-6DB90651C4CE}"/>
    <cellStyle name="40% - Accent5 2 2 2 2 5" xfId="10110" xr:uid="{F3072861-490E-4B12-84AF-BAEA60C0985E}"/>
    <cellStyle name="40% - Accent5 2 2 2 2 6" xfId="18557" xr:uid="{BFFE674C-0D60-4572-B92E-8032C6F9A84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5FBEDCB8-6347-4FF0-8BA3-E2E21D1FA025}"/>
    <cellStyle name="40% - Accent5 2 2 2 3 2 2 3" xfId="25332" xr:uid="{230FC243-4350-4124-9890-91D238A61A3F}"/>
    <cellStyle name="40% - Accent5 2 2 2 3 2 3" xfId="12668" xr:uid="{D6D368AC-25AD-46FB-A925-F72369CB8C16}"/>
    <cellStyle name="40% - Accent5 2 2 2 3 2 4" xfId="21115" xr:uid="{1A61EBDC-FF77-43DB-A6BF-86A51ABBE2D7}"/>
    <cellStyle name="40% - Accent5 2 2 2 3 3" xfId="5414" xr:uid="{00000000-0005-0000-0000-00004C060000}"/>
    <cellStyle name="40% - Accent5 2 2 2 3 3 2" xfId="14740" xr:uid="{9A264862-964D-4201-9BFA-C319C10BDC97}"/>
    <cellStyle name="40% - Accent5 2 2 2 3 3 3" xfId="23187" xr:uid="{6F24FCC9-1CB3-4CC8-9242-92F397B1D683}"/>
    <cellStyle name="40% - Accent5 2 2 2 3 4" xfId="10523" xr:uid="{C105750C-9B2C-4AB0-AA3C-0C4E4DA344BE}"/>
    <cellStyle name="40% - Accent5 2 2 2 3 5" xfId="18970" xr:uid="{569B3121-50A4-448F-8F72-E1FFC6D819B9}"/>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0A15FAD0-B685-4BE2-8367-70ECB44AE7C8}"/>
    <cellStyle name="40% - Accent5 2 2 2 4 2 2 3" xfId="25745" xr:uid="{619509DC-D8E8-4328-A80C-F450350B9B6C}"/>
    <cellStyle name="40% - Accent5 2 2 2 4 2 3" xfId="13081" xr:uid="{2F2A01B9-439B-4BCD-971F-0FD5F173AC1C}"/>
    <cellStyle name="40% - Accent5 2 2 2 4 2 4" xfId="21528" xr:uid="{297AF3C8-A21A-4265-B90C-660D8CA118F4}"/>
    <cellStyle name="40% - Accent5 2 2 2 4 3" xfId="5827" xr:uid="{00000000-0005-0000-0000-000050060000}"/>
    <cellStyle name="40% - Accent5 2 2 2 4 3 2" xfId="15153" xr:uid="{21414B5C-0814-4560-A4BA-C846FFDECE98}"/>
    <cellStyle name="40% - Accent5 2 2 2 4 3 3" xfId="23600" xr:uid="{A59C09A4-1754-476C-ADF3-4C30670334BD}"/>
    <cellStyle name="40% - Accent5 2 2 2 4 4" xfId="10936" xr:uid="{4C909DAD-D132-40CB-88BD-D496E1766FF6}"/>
    <cellStyle name="40% - Accent5 2 2 2 4 5" xfId="19383" xr:uid="{BAB79C1A-DF15-420F-9808-906C58F0106F}"/>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008FFF47-525A-4DD7-99AD-61D81AE00167}"/>
    <cellStyle name="40% - Accent5 2 2 2 5 2 2 3" xfId="26158" xr:uid="{8A21D51E-4134-4403-AC0F-04588A12A49A}"/>
    <cellStyle name="40% - Accent5 2 2 2 5 2 3" xfId="13494" xr:uid="{870D7A09-BAD4-485F-B253-3BCEBF5036CB}"/>
    <cellStyle name="40% - Accent5 2 2 2 5 2 4" xfId="21941" xr:uid="{10DD7349-4321-439D-8118-1AD533F4C3F3}"/>
    <cellStyle name="40% - Accent5 2 2 2 5 3" xfId="6240" xr:uid="{00000000-0005-0000-0000-000054060000}"/>
    <cellStyle name="40% - Accent5 2 2 2 5 3 2" xfId="15566" xr:uid="{80555215-BE56-45F9-A859-52DE7E8D95E1}"/>
    <cellStyle name="40% - Accent5 2 2 2 5 3 3" xfId="24013" xr:uid="{6671C2BE-B987-43D7-99A5-72EC4B5F67E9}"/>
    <cellStyle name="40% - Accent5 2 2 2 5 4" xfId="11349" xr:uid="{20D69579-56A6-4DDF-AD44-6605E798F627}"/>
    <cellStyle name="40% - Accent5 2 2 2 5 5" xfId="19796" xr:uid="{F3E3BB06-14BF-48E8-97BA-77B35170B116}"/>
    <cellStyle name="40% - Accent5 2 2 2 6" xfId="2347" xr:uid="{00000000-0005-0000-0000-000055060000}"/>
    <cellStyle name="40% - Accent5 2 2 2 6 2" xfId="6653" xr:uid="{00000000-0005-0000-0000-000056060000}"/>
    <cellStyle name="40% - Accent5 2 2 2 6 2 2" xfId="15979" xr:uid="{09A447CF-3B43-4E8B-B1ED-F9FF0C47D231}"/>
    <cellStyle name="40% - Accent5 2 2 2 6 2 3" xfId="24426" xr:uid="{26961763-20E4-4DAC-AD20-393F96937665}"/>
    <cellStyle name="40% - Accent5 2 2 2 6 3" xfId="11762" xr:uid="{F175C243-EA34-47BD-AAB7-0DC9AC97446C}"/>
    <cellStyle name="40% - Accent5 2 2 2 6 4" xfId="20209" xr:uid="{F9E49374-D69A-4D2C-BA98-73A1A8DF083C}"/>
    <cellStyle name="40% - Accent5 2 2 2 7" xfId="4587" xr:uid="{00000000-0005-0000-0000-000057060000}"/>
    <cellStyle name="40% - Accent5 2 2 2 7 2" xfId="13913" xr:uid="{41E25B71-9B97-4835-BFF4-72A1D7E64DC6}"/>
    <cellStyle name="40% - Accent5 2 2 2 7 3" xfId="22360" xr:uid="{0D344DEA-61CD-435C-84C1-3F75CAFD95B3}"/>
    <cellStyle name="40% - Accent5 2 2 2 8" xfId="9112" xr:uid="{65D0CC40-E9D0-4CE3-B684-8DE4A2C7BCD7}"/>
    <cellStyle name="40% - Accent5 2 2 2 9" xfId="9696" xr:uid="{5BD5B8CA-4EB0-41B6-A273-D80B52CF5A2E}"/>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8733593C-388B-41E9-84EF-9BC40D221224}"/>
    <cellStyle name="40% - Accent5 2 2 3 2 2 3" xfId="24918" xr:uid="{E9974791-E51E-4E50-91D2-01CBB1F834CD}"/>
    <cellStyle name="40% - Accent5 2 2 3 2 3" xfId="12254" xr:uid="{084014E4-42DC-4A5D-B569-7C3287065DEE}"/>
    <cellStyle name="40% - Accent5 2 2 3 2 4" xfId="20701" xr:uid="{28CF497F-9202-4934-ADCC-3E1B7106A4CA}"/>
    <cellStyle name="40% - Accent5 2 2 3 3" xfId="5000" xr:uid="{00000000-0005-0000-0000-00005B060000}"/>
    <cellStyle name="40% - Accent5 2 2 3 3 2" xfId="14326" xr:uid="{4F0AEF18-0C9B-4DB9-944A-03870A78F781}"/>
    <cellStyle name="40% - Accent5 2 2 3 3 3" xfId="22773" xr:uid="{FA8F5D02-85E7-4693-8859-C24DE9DD8356}"/>
    <cellStyle name="40% - Accent5 2 2 3 4" xfId="9330" xr:uid="{75959B30-FD84-42A5-95AE-69048CCC8361}"/>
    <cellStyle name="40% - Accent5 2 2 3 5" xfId="10109" xr:uid="{1E634987-5A8D-4257-86D5-C269B6B7F1FF}"/>
    <cellStyle name="40% - Accent5 2 2 3 6" xfId="18556" xr:uid="{D8BBF401-0B3A-48D2-87BD-5B70991D9E5D}"/>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6D2FA8D0-E0A6-4A97-B0E4-18B0155DC8C7}"/>
    <cellStyle name="40% - Accent5 2 2 4 2 2 3" xfId="25331" xr:uid="{10D0A89E-C00D-4FB1-8ADB-AB1698C21F74}"/>
    <cellStyle name="40% - Accent5 2 2 4 2 3" xfId="12667" xr:uid="{F9893E51-9679-4AED-9705-AD5B2B311F71}"/>
    <cellStyle name="40% - Accent5 2 2 4 2 4" xfId="21114" xr:uid="{73147DB5-E38D-4EFB-AC55-40917AD3F862}"/>
    <cellStyle name="40% - Accent5 2 2 4 3" xfId="5413" xr:uid="{00000000-0005-0000-0000-00005F060000}"/>
    <cellStyle name="40% - Accent5 2 2 4 3 2" xfId="14739" xr:uid="{058817A5-A5E0-4344-AE9F-13E4D6C8139F}"/>
    <cellStyle name="40% - Accent5 2 2 4 3 3" xfId="23186" xr:uid="{6B5E20E3-210C-492E-8C98-41946B9EE01D}"/>
    <cellStyle name="40% - Accent5 2 2 4 4" xfId="10522" xr:uid="{B894D15B-39CF-4DF1-8456-EAED9744FEB2}"/>
    <cellStyle name="40% - Accent5 2 2 4 5" xfId="18969" xr:uid="{41000CE9-C05D-4237-BC08-CD35577865DD}"/>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0BC131A5-2ACD-457C-8CA4-B2CA35193011}"/>
    <cellStyle name="40% - Accent5 2 2 5 2 2 3" xfId="25744" xr:uid="{7FFC8A3A-CB7B-4C5A-817B-54564E56E503}"/>
    <cellStyle name="40% - Accent5 2 2 5 2 3" xfId="13080" xr:uid="{F5087C15-700D-44E7-AD21-7695F383A953}"/>
    <cellStyle name="40% - Accent5 2 2 5 2 4" xfId="21527" xr:uid="{87C2D1B4-B614-4DE2-9278-3C87D01D0563}"/>
    <cellStyle name="40% - Accent5 2 2 5 3" xfId="5826" xr:uid="{00000000-0005-0000-0000-000063060000}"/>
    <cellStyle name="40% - Accent5 2 2 5 3 2" xfId="15152" xr:uid="{E825FBEF-FA59-4CEE-BE2B-FC1F1E293582}"/>
    <cellStyle name="40% - Accent5 2 2 5 3 3" xfId="23599" xr:uid="{D210DF13-CC73-4A6A-B817-465067F4C5C5}"/>
    <cellStyle name="40% - Accent5 2 2 5 4" xfId="10935" xr:uid="{C5AA6C4D-F5E0-4BB0-AE12-0E2EC47DBA0B}"/>
    <cellStyle name="40% - Accent5 2 2 5 5" xfId="19382" xr:uid="{9FE92B8A-36F7-4F21-AB2E-615655BF6E3B}"/>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A8CCA274-7C15-4337-8786-B99E7466D114}"/>
    <cellStyle name="40% - Accent5 2 2 6 2 2 3" xfId="26157" xr:uid="{C6CD9390-E7CF-4631-A783-143B5A70E080}"/>
    <cellStyle name="40% - Accent5 2 2 6 2 3" xfId="13493" xr:uid="{1DCC9842-4C6C-4F09-AE94-FB744C6C4AC3}"/>
    <cellStyle name="40% - Accent5 2 2 6 2 4" xfId="21940" xr:uid="{CCB03FFF-9268-4515-A4C8-6F24BC906A43}"/>
    <cellStyle name="40% - Accent5 2 2 6 3" xfId="6239" xr:uid="{00000000-0005-0000-0000-000067060000}"/>
    <cellStyle name="40% - Accent5 2 2 6 3 2" xfId="15565" xr:uid="{96BFEAF5-9B86-4645-BC04-DE4EC79FBAC4}"/>
    <cellStyle name="40% - Accent5 2 2 6 3 3" xfId="24012" xr:uid="{E8E0586D-B528-4DB0-8FDC-86A3BD36359C}"/>
    <cellStyle name="40% - Accent5 2 2 6 4" xfId="11348" xr:uid="{BBC8D934-13C7-4F6E-81FB-977E12150198}"/>
    <cellStyle name="40% - Accent5 2 2 6 5" xfId="19795" xr:uid="{0DDBFA1E-5505-4976-A8E2-D123B10060AB}"/>
    <cellStyle name="40% - Accent5 2 2 7" xfId="2346" xr:uid="{00000000-0005-0000-0000-000068060000}"/>
    <cellStyle name="40% - Accent5 2 2 7 2" xfId="6652" xr:uid="{00000000-0005-0000-0000-000069060000}"/>
    <cellStyle name="40% - Accent5 2 2 7 2 2" xfId="15978" xr:uid="{89C87240-EFF7-4486-ACD2-75132EBC312A}"/>
    <cellStyle name="40% - Accent5 2 2 7 2 3" xfId="24425" xr:uid="{B3326C9F-A74B-4C2C-A1FF-AB34CED4B8B6}"/>
    <cellStyle name="40% - Accent5 2 2 7 3" xfId="11761" xr:uid="{5AFB0D68-1B3A-4D71-8DED-5036D714289C}"/>
    <cellStyle name="40% - Accent5 2 2 7 4" xfId="20208" xr:uid="{4F2FDEC9-FBC8-4A71-9C52-5C7A5881C699}"/>
    <cellStyle name="40% - Accent5 2 2 8" xfId="4586" xr:uid="{00000000-0005-0000-0000-00006A060000}"/>
    <cellStyle name="40% - Accent5 2 2 8 2" xfId="13912" xr:uid="{6B70A64E-79AD-4FAA-AC3F-AC8E417D9B04}"/>
    <cellStyle name="40% - Accent5 2 2 8 3" xfId="22359" xr:uid="{F0EEDBB1-9C0C-4AFA-873B-9BCEFBA5A69E}"/>
    <cellStyle name="40% - Accent5 2 2 9" xfId="8905" xr:uid="{3B48B2AE-2C2B-47FB-A8F4-43FECCDBCFEF}"/>
    <cellStyle name="40% - Accent5 2 3" xfId="85" xr:uid="{00000000-0005-0000-0000-00006B060000}"/>
    <cellStyle name="40% - Accent5 2 3 10" xfId="18144" xr:uid="{98BABE7E-DE97-4399-8C99-C8CF78D84F23}"/>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81FB229D-D93B-4851-AB9F-9B028A247FB4}"/>
    <cellStyle name="40% - Accent5 2 3 2 2 2 3" xfId="24920" xr:uid="{E1090B2C-236F-4B5E-8374-465211F5DB97}"/>
    <cellStyle name="40% - Accent5 2 3 2 2 3" xfId="12256" xr:uid="{3896AA08-39E1-4915-9244-68E6B42996FA}"/>
    <cellStyle name="40% - Accent5 2 3 2 2 4" xfId="20703" xr:uid="{2084345C-7478-4A68-81BD-859F764F461F}"/>
    <cellStyle name="40% - Accent5 2 3 2 3" xfId="5002" xr:uid="{00000000-0005-0000-0000-00006F060000}"/>
    <cellStyle name="40% - Accent5 2 3 2 3 2" xfId="14328" xr:uid="{7E1EDD4B-4FB8-471B-A556-581275DBEAF0}"/>
    <cellStyle name="40% - Accent5 2 3 2 3 3" xfId="22775" xr:uid="{FE03E509-AE2D-4575-A2C0-410EBA190362}"/>
    <cellStyle name="40% - Accent5 2 3 2 4" xfId="9434" xr:uid="{512EAA64-F150-4B15-8534-EB34D6D41408}"/>
    <cellStyle name="40% - Accent5 2 3 2 5" xfId="10111" xr:uid="{B37D178B-B85A-4DD3-AD42-58BED447FF69}"/>
    <cellStyle name="40% - Accent5 2 3 2 6" xfId="18558" xr:uid="{F9CEC85D-89E1-4088-AB78-C44856C7AC54}"/>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812F9E4A-C785-4162-97C3-9283AAEB367C}"/>
    <cellStyle name="40% - Accent5 2 3 3 2 2 3" xfId="25333" xr:uid="{470FF24F-A9E0-4EDB-AC69-297CF55144CB}"/>
    <cellStyle name="40% - Accent5 2 3 3 2 3" xfId="12669" xr:uid="{32158CC9-FCC0-4751-B1FC-896E981DCE90}"/>
    <cellStyle name="40% - Accent5 2 3 3 2 4" xfId="21116" xr:uid="{C27B265F-5820-4BBD-A0C8-F794AFEAD0E3}"/>
    <cellStyle name="40% - Accent5 2 3 3 3" xfId="5415" xr:uid="{00000000-0005-0000-0000-000073060000}"/>
    <cellStyle name="40% - Accent5 2 3 3 3 2" xfId="14741" xr:uid="{0FEADDAC-F4A2-49F6-96A1-BF447ADB9184}"/>
    <cellStyle name="40% - Accent5 2 3 3 3 3" xfId="23188" xr:uid="{6EE65017-16D7-496F-BFE6-DFF8BFAB062D}"/>
    <cellStyle name="40% - Accent5 2 3 3 4" xfId="10524" xr:uid="{EE27E1CA-FA04-4892-98AF-46B1DC73F956}"/>
    <cellStyle name="40% - Accent5 2 3 3 5" xfId="18971" xr:uid="{6903384C-C27B-45D3-B452-AF05C95E8475}"/>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D5396BCA-65C3-48FE-9374-425DA581F9BA}"/>
    <cellStyle name="40% - Accent5 2 3 4 2 2 3" xfId="25746" xr:uid="{FC5CAE93-438C-4876-8C69-EB3E9A918FC2}"/>
    <cellStyle name="40% - Accent5 2 3 4 2 3" xfId="13082" xr:uid="{2D6078FA-339E-40F1-AAD7-6BC9F3DB602C}"/>
    <cellStyle name="40% - Accent5 2 3 4 2 4" xfId="21529" xr:uid="{562968B8-1554-474F-9699-1EB8E3B759A6}"/>
    <cellStyle name="40% - Accent5 2 3 4 3" xfId="5828" xr:uid="{00000000-0005-0000-0000-000077060000}"/>
    <cellStyle name="40% - Accent5 2 3 4 3 2" xfId="15154" xr:uid="{0AA11F73-C665-4B92-835B-4A6EF2CD0598}"/>
    <cellStyle name="40% - Accent5 2 3 4 3 3" xfId="23601" xr:uid="{FFEA31F5-3B20-45CA-96E5-0A42B8ACD846}"/>
    <cellStyle name="40% - Accent5 2 3 4 4" xfId="10937" xr:uid="{117074DF-C781-43E4-99E0-94FAB80B80E3}"/>
    <cellStyle name="40% - Accent5 2 3 4 5" xfId="19384" xr:uid="{3F6CC6CA-98A8-40AE-831A-04172BEC39A8}"/>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FE4A292C-2292-4875-8FCC-2118C4E7A760}"/>
    <cellStyle name="40% - Accent5 2 3 5 2 2 3" xfId="26159" xr:uid="{2E131F5B-7879-48D5-B866-6CA44BDD125D}"/>
    <cellStyle name="40% - Accent5 2 3 5 2 3" xfId="13495" xr:uid="{2211B13C-CA96-455E-8CC2-F9990DDCA7DA}"/>
    <cellStyle name="40% - Accent5 2 3 5 2 4" xfId="21942" xr:uid="{C74F9049-49BB-40AB-BE3A-510066FC66E5}"/>
    <cellStyle name="40% - Accent5 2 3 5 3" xfId="6241" xr:uid="{00000000-0005-0000-0000-00007B060000}"/>
    <cellStyle name="40% - Accent5 2 3 5 3 2" xfId="15567" xr:uid="{68DC4A25-DBB3-4D39-BA37-808099A34A66}"/>
    <cellStyle name="40% - Accent5 2 3 5 3 3" xfId="24014" xr:uid="{A2742E94-4CE3-4BEA-8244-9E910249B751}"/>
    <cellStyle name="40% - Accent5 2 3 5 4" xfId="11350" xr:uid="{24B6CD08-6343-4FB5-9768-9671A54CDFB1}"/>
    <cellStyle name="40% - Accent5 2 3 5 5" xfId="19797" xr:uid="{6661CD61-E556-45C9-ADBF-9F66407FF383}"/>
    <cellStyle name="40% - Accent5 2 3 6" xfId="2348" xr:uid="{00000000-0005-0000-0000-00007C060000}"/>
    <cellStyle name="40% - Accent5 2 3 6 2" xfId="6654" xr:uid="{00000000-0005-0000-0000-00007D060000}"/>
    <cellStyle name="40% - Accent5 2 3 6 2 2" xfId="15980" xr:uid="{3110BFFB-6C40-4DFA-A644-4D22C5C58364}"/>
    <cellStyle name="40% - Accent5 2 3 6 2 3" xfId="24427" xr:uid="{C4DA7913-224A-4891-8106-311CCDC6FEFA}"/>
    <cellStyle name="40% - Accent5 2 3 6 3" xfId="11763" xr:uid="{BE36CE14-19FF-4EA0-9A00-737DB11AAF68}"/>
    <cellStyle name="40% - Accent5 2 3 6 4" xfId="20210" xr:uid="{A3C75738-B62F-4EB8-8A00-D7CB4454126B}"/>
    <cellStyle name="40% - Accent5 2 3 7" xfId="4588" xr:uid="{00000000-0005-0000-0000-00007E060000}"/>
    <cellStyle name="40% - Accent5 2 3 7 2" xfId="13914" xr:uid="{6A344BAF-340E-465E-8126-9AC94FFDBC67}"/>
    <cellStyle name="40% - Accent5 2 3 7 3" xfId="22361" xr:uid="{4616E76B-64B0-4F07-9A0C-C11338DE1FB1}"/>
    <cellStyle name="40% - Accent5 2 3 8" xfId="9009" xr:uid="{DE8B6E41-761F-4ED0-BA8A-00A6A898A2FC}"/>
    <cellStyle name="40% - Accent5 2 3 9" xfId="9697" xr:uid="{8424BAA4-B29D-497B-BFCB-9DB356079F7C}"/>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3F97B9A8-EC02-42DB-A138-3A432D4CED9C}"/>
    <cellStyle name="40% - Accent5 2 4 2 2 3" xfId="24917" xr:uid="{EFCF3B7E-3091-4F33-8675-86A1FC2B832B}"/>
    <cellStyle name="40% - Accent5 2 4 2 3" xfId="12253" xr:uid="{F6624484-D3B2-4C03-8455-0F8EF2EB5143}"/>
    <cellStyle name="40% - Accent5 2 4 2 4" xfId="20700" xr:uid="{269A00FD-1839-4454-BDB4-CD1D17CE4832}"/>
    <cellStyle name="40% - Accent5 2 4 3" xfId="4999" xr:uid="{00000000-0005-0000-0000-000082060000}"/>
    <cellStyle name="40% - Accent5 2 4 3 2" xfId="14325" xr:uid="{284EA47A-B1AB-4D97-9D45-D11C1A83B6B6}"/>
    <cellStyle name="40% - Accent5 2 4 3 3" xfId="22772" xr:uid="{916325DB-69E4-4E4A-B064-09F18D66236A}"/>
    <cellStyle name="40% - Accent5 2 4 4" xfId="9226" xr:uid="{6A688709-D29B-458C-973B-231279FAFEF5}"/>
    <cellStyle name="40% - Accent5 2 4 5" xfId="10108" xr:uid="{BC555C41-27D6-45BB-B7FD-420FF5729F15}"/>
    <cellStyle name="40% - Accent5 2 4 6" xfId="18555" xr:uid="{6189D722-79E5-47E3-806B-2C2F03FE9573}"/>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06186C60-A8B1-4D7D-92CD-C06A97BF189A}"/>
    <cellStyle name="40% - Accent5 2 5 2 2 3" xfId="25330" xr:uid="{B98418AB-DC7D-49CD-97D5-A8BE165B1ED4}"/>
    <cellStyle name="40% - Accent5 2 5 2 3" xfId="12666" xr:uid="{272DBD5A-B05D-4CF4-91C2-95C92E4E5D7A}"/>
    <cellStyle name="40% - Accent5 2 5 2 4" xfId="21113" xr:uid="{81DABE1D-69EC-4D9F-834F-75CE23C6B910}"/>
    <cellStyle name="40% - Accent5 2 5 3" xfId="5412" xr:uid="{00000000-0005-0000-0000-000086060000}"/>
    <cellStyle name="40% - Accent5 2 5 3 2" xfId="14738" xr:uid="{9058CA44-7DA0-47BB-8CF4-C794651D2C95}"/>
    <cellStyle name="40% - Accent5 2 5 3 3" xfId="23185" xr:uid="{7CF43BA2-58F7-44FA-959C-FAF934DCD77B}"/>
    <cellStyle name="40% - Accent5 2 5 4" xfId="10521" xr:uid="{A1F8BF4D-1506-4495-ADE9-5DC2B1E3140B}"/>
    <cellStyle name="40% - Accent5 2 5 5" xfId="18968" xr:uid="{731E9746-1FB8-4157-9BA8-F2BE6C688A13}"/>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08F1FCD5-4389-4578-80FE-0FD645BE576D}"/>
    <cellStyle name="40% - Accent5 2 6 2 2 3" xfId="25743" xr:uid="{8739460A-C5FD-45B7-91AC-7379CA354F8B}"/>
    <cellStyle name="40% - Accent5 2 6 2 3" xfId="13079" xr:uid="{007FEFDF-EAC1-451A-BA8C-1513A467DCCD}"/>
    <cellStyle name="40% - Accent5 2 6 2 4" xfId="21526" xr:uid="{BB882C95-1A55-4F2F-8179-FB7B97B63637}"/>
    <cellStyle name="40% - Accent5 2 6 3" xfId="5825" xr:uid="{00000000-0005-0000-0000-00008A060000}"/>
    <cellStyle name="40% - Accent5 2 6 3 2" xfId="15151" xr:uid="{4C7E52D5-C06C-4456-9DF9-7D34D77A7E6A}"/>
    <cellStyle name="40% - Accent5 2 6 3 3" xfId="23598" xr:uid="{A27AE6C0-943E-4437-87B7-17467A5AB697}"/>
    <cellStyle name="40% - Accent5 2 6 4" xfId="10934" xr:uid="{2A958378-13BE-48DC-ABD0-AE30BDD95A82}"/>
    <cellStyle name="40% - Accent5 2 6 5" xfId="19381" xr:uid="{78C66C8C-274B-4F76-B039-698A15199F07}"/>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2BBE8349-382E-4E65-99C3-2964CC215E1D}"/>
    <cellStyle name="40% - Accent5 2 7 2 2 3" xfId="26156" xr:uid="{577E181D-673B-4854-828B-B6715BCD2463}"/>
    <cellStyle name="40% - Accent5 2 7 2 3" xfId="13492" xr:uid="{5B0D4763-93EA-4209-865E-D73A87767B4B}"/>
    <cellStyle name="40% - Accent5 2 7 2 4" xfId="21939" xr:uid="{0AD1BFA7-18AF-40F6-BF53-64680806EF35}"/>
    <cellStyle name="40% - Accent5 2 7 3" xfId="6238" xr:uid="{00000000-0005-0000-0000-00008E060000}"/>
    <cellStyle name="40% - Accent5 2 7 3 2" xfId="15564" xr:uid="{CB88CC96-4D35-41CA-8CAC-3D8D88F4A7CA}"/>
    <cellStyle name="40% - Accent5 2 7 3 3" xfId="24011" xr:uid="{F1669B07-5DF0-40A4-9638-B62544A424A8}"/>
    <cellStyle name="40% - Accent5 2 7 4" xfId="11347" xr:uid="{30707660-B035-4F4C-8B11-9E8B009A5DAE}"/>
    <cellStyle name="40% - Accent5 2 7 5" xfId="19794" xr:uid="{81D98F48-10B6-419A-A18A-987BA8D15252}"/>
    <cellStyle name="40% - Accent5 2 8" xfId="2345" xr:uid="{00000000-0005-0000-0000-00008F060000}"/>
    <cellStyle name="40% - Accent5 2 8 2" xfId="6651" xr:uid="{00000000-0005-0000-0000-000090060000}"/>
    <cellStyle name="40% - Accent5 2 8 2 2" xfId="15977" xr:uid="{5415680E-D41D-456D-842D-06D3DDC3BA45}"/>
    <cellStyle name="40% - Accent5 2 8 2 3" xfId="24424" xr:uid="{C6748E8A-B54D-4C5D-9AA2-3E964A49F3FC}"/>
    <cellStyle name="40% - Accent5 2 8 3" xfId="11760" xr:uid="{7F22564A-EA04-403C-8432-9A12CCBD89FD}"/>
    <cellStyle name="40% - Accent5 2 8 4" xfId="20207" xr:uid="{15F892B3-3EB0-440A-BDB8-00AFA8B748BF}"/>
    <cellStyle name="40% - Accent5 2 9" xfId="4585" xr:uid="{00000000-0005-0000-0000-000091060000}"/>
    <cellStyle name="40% - Accent5 2 9 2" xfId="13911" xr:uid="{64F7B4CE-6467-452F-A744-DE42AC1415DE}"/>
    <cellStyle name="40% - Accent5 2 9 3" xfId="22358" xr:uid="{CE7951EA-7ED0-4134-B956-6DE58AD63984}"/>
    <cellStyle name="40% - Accent5 3" xfId="86" xr:uid="{00000000-0005-0000-0000-000092060000}"/>
    <cellStyle name="40% - Accent5 3 10" xfId="9698" xr:uid="{6D46A447-FED7-4383-9628-59294839F751}"/>
    <cellStyle name="40% - Accent5 3 11" xfId="18145" xr:uid="{0FEA03D7-3B57-4C9C-9065-67BEF3F53BF2}"/>
    <cellStyle name="40% - Accent5 3 2" xfId="87" xr:uid="{00000000-0005-0000-0000-000093060000}"/>
    <cellStyle name="40% - Accent5 3 2 10" xfId="18146" xr:uid="{47A2ABEB-67E5-42ED-8D0C-50D43644B5AC}"/>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7AB6FED4-7390-410C-B747-9D1166FBF425}"/>
    <cellStyle name="40% - Accent5 3 2 2 2 2 3" xfId="24922" xr:uid="{97E25FD6-DB02-4F69-A061-A27BDD3A91FF}"/>
    <cellStyle name="40% - Accent5 3 2 2 2 3" xfId="12258" xr:uid="{F106B29B-9689-40CC-BCE6-E8A852DEEE7E}"/>
    <cellStyle name="40% - Accent5 3 2 2 2 4" xfId="20705" xr:uid="{B106C686-7D96-464C-8B9B-F0383327499A}"/>
    <cellStyle name="40% - Accent5 3 2 2 3" xfId="5004" xr:uid="{00000000-0005-0000-0000-000097060000}"/>
    <cellStyle name="40% - Accent5 3 2 2 3 2" xfId="14330" xr:uid="{5C3490CE-7E0D-4F78-BEB3-8CBED2F96DD0}"/>
    <cellStyle name="40% - Accent5 3 2 2 3 3" xfId="22777" xr:uid="{149F8222-15BD-409D-8A47-A0CEDA47A17C}"/>
    <cellStyle name="40% - Accent5 3 2 2 4" xfId="9502" xr:uid="{96903B0D-DCFE-4149-8088-461BCB03A73B}"/>
    <cellStyle name="40% - Accent5 3 2 2 5" xfId="10113" xr:uid="{9887B2FA-7FF5-4790-9A03-B181E68765ED}"/>
    <cellStyle name="40% - Accent5 3 2 2 6" xfId="18560" xr:uid="{442756DB-C599-4082-B445-7DF9172A559A}"/>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6A884EAA-E878-47D6-A422-7993566B3BF6}"/>
    <cellStyle name="40% - Accent5 3 2 3 2 2 3" xfId="25335" xr:uid="{8205773A-3650-4664-8E58-90386C270476}"/>
    <cellStyle name="40% - Accent5 3 2 3 2 3" xfId="12671" xr:uid="{987AD09A-1B5D-41B7-AF9B-065088CB68E3}"/>
    <cellStyle name="40% - Accent5 3 2 3 2 4" xfId="21118" xr:uid="{38951870-D66F-41BA-883A-FB8671A744D2}"/>
    <cellStyle name="40% - Accent5 3 2 3 3" xfId="5417" xr:uid="{00000000-0005-0000-0000-00009B060000}"/>
    <cellStyle name="40% - Accent5 3 2 3 3 2" xfId="14743" xr:uid="{ABC5D385-2353-4E5B-882F-88C0EE89B2A7}"/>
    <cellStyle name="40% - Accent5 3 2 3 3 3" xfId="23190" xr:uid="{F842E758-0EE0-4A89-B84E-1650702F148D}"/>
    <cellStyle name="40% - Accent5 3 2 3 4" xfId="10526" xr:uid="{7AFCC6FA-07D6-4D04-9045-3C737AC47C2B}"/>
    <cellStyle name="40% - Accent5 3 2 3 5" xfId="18973" xr:uid="{5E957B1C-BA64-49D7-A5FB-CD2F77E3B8D6}"/>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F506C9E6-DAB2-4385-A4B7-595E2D2BD726}"/>
    <cellStyle name="40% - Accent5 3 2 4 2 2 3" xfId="25748" xr:uid="{525C3655-F018-49EB-A21B-1509D4E38C15}"/>
    <cellStyle name="40% - Accent5 3 2 4 2 3" xfId="13084" xr:uid="{A548B757-CA46-4F35-8923-03C8DF37348C}"/>
    <cellStyle name="40% - Accent5 3 2 4 2 4" xfId="21531" xr:uid="{28865DE8-2C1F-4AE3-BE40-A323046EF550}"/>
    <cellStyle name="40% - Accent5 3 2 4 3" xfId="5830" xr:uid="{00000000-0005-0000-0000-00009F060000}"/>
    <cellStyle name="40% - Accent5 3 2 4 3 2" xfId="15156" xr:uid="{3384C355-4B32-4337-94A3-FCAD1DDCD701}"/>
    <cellStyle name="40% - Accent5 3 2 4 3 3" xfId="23603" xr:uid="{3CC79353-4578-47F3-97C5-D4104B6424DF}"/>
    <cellStyle name="40% - Accent5 3 2 4 4" xfId="10939" xr:uid="{CA72575A-EF8E-40FB-A614-CC44455517FC}"/>
    <cellStyle name="40% - Accent5 3 2 4 5" xfId="19386" xr:uid="{E94DFB7F-4ECE-453A-AAD2-BF7732C09C8C}"/>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C84C9C6F-17EC-436D-B889-E3A97B8F7890}"/>
    <cellStyle name="40% - Accent5 3 2 5 2 2 3" xfId="26161" xr:uid="{02919883-1581-4A08-B976-10B399A63243}"/>
    <cellStyle name="40% - Accent5 3 2 5 2 3" xfId="13497" xr:uid="{E68E0A72-CE7C-46AA-B20D-F34E87B95E60}"/>
    <cellStyle name="40% - Accent5 3 2 5 2 4" xfId="21944" xr:uid="{63DA91B6-F8D0-4684-9603-6847042A5AAD}"/>
    <cellStyle name="40% - Accent5 3 2 5 3" xfId="6243" xr:uid="{00000000-0005-0000-0000-0000A3060000}"/>
    <cellStyle name="40% - Accent5 3 2 5 3 2" xfId="15569" xr:uid="{F9A45FDF-EBDA-45DF-A0D6-59CE6E7AF160}"/>
    <cellStyle name="40% - Accent5 3 2 5 3 3" xfId="24016" xr:uid="{A4739912-8403-4167-8059-6E6406E3325D}"/>
    <cellStyle name="40% - Accent5 3 2 5 4" xfId="11352" xr:uid="{FFF8C8A3-07B3-43F3-894B-BDC08C58E361}"/>
    <cellStyle name="40% - Accent5 3 2 5 5" xfId="19799" xr:uid="{F7E67F79-75A5-44B6-A70E-ECCEE7F3A9F2}"/>
    <cellStyle name="40% - Accent5 3 2 6" xfId="2350" xr:uid="{00000000-0005-0000-0000-0000A4060000}"/>
    <cellStyle name="40% - Accent5 3 2 6 2" xfId="6656" xr:uid="{00000000-0005-0000-0000-0000A5060000}"/>
    <cellStyle name="40% - Accent5 3 2 6 2 2" xfId="15982" xr:uid="{428307AC-7CB2-4179-AEEF-98CE142394AB}"/>
    <cellStyle name="40% - Accent5 3 2 6 2 3" xfId="24429" xr:uid="{AF8E77FC-3F7F-4299-A265-16A0DBE7ADD6}"/>
    <cellStyle name="40% - Accent5 3 2 6 3" xfId="11765" xr:uid="{02E6FEAC-4C44-493D-B14D-9BE543683FD5}"/>
    <cellStyle name="40% - Accent5 3 2 6 4" xfId="20212" xr:uid="{EB128BC0-2B8E-4C6B-A1CC-541765BF8D46}"/>
    <cellStyle name="40% - Accent5 3 2 7" xfId="4590" xr:uid="{00000000-0005-0000-0000-0000A6060000}"/>
    <cellStyle name="40% - Accent5 3 2 7 2" xfId="13916" xr:uid="{1AE6F94A-8204-40A4-859B-497A54D509C3}"/>
    <cellStyle name="40% - Accent5 3 2 7 3" xfId="22363" xr:uid="{207BD97D-F5CD-4803-8DD4-12FB7D43DE59}"/>
    <cellStyle name="40% - Accent5 3 2 8" xfId="9077" xr:uid="{8842DD15-54E4-487D-B492-3A505722387C}"/>
    <cellStyle name="40% - Accent5 3 2 9" xfId="9699" xr:uid="{46DE8A54-D843-4C3E-A718-BB76BCDD05AE}"/>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00670EFC-4041-4111-875B-3BA7032E6D00}"/>
    <cellStyle name="40% - Accent5 3 3 2 2 3" xfId="24921" xr:uid="{0946B713-B8BE-40C0-9F33-08902D13D37F}"/>
    <cellStyle name="40% - Accent5 3 3 2 3" xfId="12257" xr:uid="{F0605D9A-9D2B-4002-B538-2E11608CA7F4}"/>
    <cellStyle name="40% - Accent5 3 3 2 4" xfId="20704" xr:uid="{9D8A25F2-8954-407B-A5E7-FC9D11063213}"/>
    <cellStyle name="40% - Accent5 3 3 3" xfId="5003" xr:uid="{00000000-0005-0000-0000-0000AA060000}"/>
    <cellStyle name="40% - Accent5 3 3 3 2" xfId="14329" xr:uid="{C6741E96-16AC-4C36-83AB-7A267AF1DAF9}"/>
    <cellStyle name="40% - Accent5 3 3 3 3" xfId="22776" xr:uid="{4B69A15E-AC6B-45C8-8249-4BB1CE6C9368}"/>
    <cellStyle name="40% - Accent5 3 3 4" xfId="9295" xr:uid="{0D42C89E-252E-426A-8E1F-7D3AD6B9FE55}"/>
    <cellStyle name="40% - Accent5 3 3 5" xfId="10112" xr:uid="{0A57089A-AA6B-4CFF-AC98-99592E0185E4}"/>
    <cellStyle name="40% - Accent5 3 3 6" xfId="18559" xr:uid="{DAE218FF-6624-455D-A908-EF07D9A7CA4B}"/>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D422163B-4C96-4445-8187-06311A01C849}"/>
    <cellStyle name="40% - Accent5 3 4 2 2 3" xfId="25334" xr:uid="{26CD58AE-EF21-4D90-9937-AED544DAFBEB}"/>
    <cellStyle name="40% - Accent5 3 4 2 3" xfId="12670" xr:uid="{ADA179FD-B96A-47A2-9386-F825A2C8A819}"/>
    <cellStyle name="40% - Accent5 3 4 2 4" xfId="21117" xr:uid="{052398DA-2ACD-4410-BC0E-ABAAACC033FF}"/>
    <cellStyle name="40% - Accent5 3 4 3" xfId="5416" xr:uid="{00000000-0005-0000-0000-0000AE060000}"/>
    <cellStyle name="40% - Accent5 3 4 3 2" xfId="14742" xr:uid="{54EB9D19-53DE-41FA-9171-715F0C7C04AD}"/>
    <cellStyle name="40% - Accent5 3 4 3 3" xfId="23189" xr:uid="{B05C815D-1BD4-433C-BEB6-58D1F465121D}"/>
    <cellStyle name="40% - Accent5 3 4 4" xfId="10525" xr:uid="{D7BEED97-02F3-45D0-AF67-670476D680F1}"/>
    <cellStyle name="40% - Accent5 3 4 5" xfId="18972" xr:uid="{2CEEBA0F-5530-47B4-A99A-B369D4328D3A}"/>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76E1D8B6-A901-43F4-A6AF-E16AC1CB9293}"/>
    <cellStyle name="40% - Accent5 3 5 2 2 3" xfId="25747" xr:uid="{66B1D230-A33D-481F-8693-0D386D86EAE1}"/>
    <cellStyle name="40% - Accent5 3 5 2 3" xfId="13083" xr:uid="{E739CBDC-AE47-4F59-AC5B-9B025DFEE7B9}"/>
    <cellStyle name="40% - Accent5 3 5 2 4" xfId="21530" xr:uid="{2B9EB7F6-332F-4EF5-8089-E7ACC801E3EE}"/>
    <cellStyle name="40% - Accent5 3 5 3" xfId="5829" xr:uid="{00000000-0005-0000-0000-0000B2060000}"/>
    <cellStyle name="40% - Accent5 3 5 3 2" xfId="15155" xr:uid="{05676A57-8C19-4314-99CF-DCE5A69A6178}"/>
    <cellStyle name="40% - Accent5 3 5 3 3" xfId="23602" xr:uid="{E6B5EC01-29F5-49CE-8393-285B90EF7BC9}"/>
    <cellStyle name="40% - Accent5 3 5 4" xfId="10938" xr:uid="{376763B5-44BA-4EB0-A1B7-E706E1EC03C7}"/>
    <cellStyle name="40% - Accent5 3 5 5" xfId="19385" xr:uid="{8651CC89-809F-478A-83F9-F825F8CA268F}"/>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7D6B3D09-C90A-4135-81D3-E8B763C909A8}"/>
    <cellStyle name="40% - Accent5 3 6 2 2 3" xfId="26160" xr:uid="{4B5A1C33-37F0-4883-96D2-BB71D0C07647}"/>
    <cellStyle name="40% - Accent5 3 6 2 3" xfId="13496" xr:uid="{366FE9A8-8549-4183-B621-8E04C2219CC7}"/>
    <cellStyle name="40% - Accent5 3 6 2 4" xfId="21943" xr:uid="{FDFE4E7F-0927-4F1F-A5D7-3EBABEADE4B7}"/>
    <cellStyle name="40% - Accent5 3 6 3" xfId="6242" xr:uid="{00000000-0005-0000-0000-0000B6060000}"/>
    <cellStyle name="40% - Accent5 3 6 3 2" xfId="15568" xr:uid="{70818B3B-6495-4AEB-96FC-D74518E09F35}"/>
    <cellStyle name="40% - Accent5 3 6 3 3" xfId="24015" xr:uid="{B18854FA-6C06-4D32-A115-F114D1206812}"/>
    <cellStyle name="40% - Accent5 3 6 4" xfId="11351" xr:uid="{BCDA994B-59B6-4AB8-BB18-24EE6C00CD05}"/>
    <cellStyle name="40% - Accent5 3 6 5" xfId="19798" xr:uid="{0F19B578-CBED-4C23-934D-791267E6F348}"/>
    <cellStyle name="40% - Accent5 3 7" xfId="2349" xr:uid="{00000000-0005-0000-0000-0000B7060000}"/>
    <cellStyle name="40% - Accent5 3 7 2" xfId="6655" xr:uid="{00000000-0005-0000-0000-0000B8060000}"/>
    <cellStyle name="40% - Accent5 3 7 2 2" xfId="15981" xr:uid="{E67DB8CE-962F-46BC-AF70-785F461719E6}"/>
    <cellStyle name="40% - Accent5 3 7 2 3" xfId="24428" xr:uid="{F69388C0-E335-447D-BE90-84532C153548}"/>
    <cellStyle name="40% - Accent5 3 7 3" xfId="11764" xr:uid="{523AB11A-554F-4A61-AB97-8BA054E9A720}"/>
    <cellStyle name="40% - Accent5 3 7 4" xfId="20211" xr:uid="{9DBEF274-24F5-465E-B882-1ACEE79F791E}"/>
    <cellStyle name="40% - Accent5 3 8" xfId="4589" xr:uid="{00000000-0005-0000-0000-0000B9060000}"/>
    <cellStyle name="40% - Accent5 3 8 2" xfId="13915" xr:uid="{22B19D7F-934B-4B35-8387-CF1CAC496030}"/>
    <cellStyle name="40% - Accent5 3 8 3" xfId="22362" xr:uid="{BBAA5B45-9B2A-4C55-9695-4845A20CA774}"/>
    <cellStyle name="40% - Accent5 3 9" xfId="8870" xr:uid="{F7DB5D96-1272-4D48-B3B6-48053CFCBA44}"/>
    <cellStyle name="40% - Accent5 4" xfId="88" xr:uid="{00000000-0005-0000-0000-0000BA060000}"/>
    <cellStyle name="40% - Accent5 4 10" xfId="18147" xr:uid="{90212833-E523-4897-9661-BE0B4C9A5EB1}"/>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AA5F97A0-56C9-4950-BEFE-217DA1674132}"/>
    <cellStyle name="40% - Accent5 4 2 2 2 3" xfId="24923" xr:uid="{E6C999AA-2689-4955-A2DD-79910D94A7DA}"/>
    <cellStyle name="40% - Accent5 4 2 2 3" xfId="12259" xr:uid="{BCE68760-62EA-42D9-9968-8F10FFFFE2A8}"/>
    <cellStyle name="40% - Accent5 4 2 2 4" xfId="20706" xr:uid="{0326CBE2-F1AD-487F-B3F8-B7E49E0B4AE2}"/>
    <cellStyle name="40% - Accent5 4 2 3" xfId="5005" xr:uid="{00000000-0005-0000-0000-0000BE060000}"/>
    <cellStyle name="40% - Accent5 4 2 3 2" xfId="14331" xr:uid="{FB52A89F-629A-4550-91CE-AC49605757BB}"/>
    <cellStyle name="40% - Accent5 4 2 3 3" xfId="22778" xr:uid="{9F3AECA6-68B6-4BC4-BEB4-C8C0C8961437}"/>
    <cellStyle name="40% - Accent5 4 2 4" xfId="9381" xr:uid="{6D86932C-AFC4-4FF0-967D-0F56E90E02E1}"/>
    <cellStyle name="40% - Accent5 4 2 5" xfId="10114" xr:uid="{1FEB5B8B-B61B-49E8-9F9F-1AB30A025EDC}"/>
    <cellStyle name="40% - Accent5 4 2 6" xfId="18561" xr:uid="{D64E3299-A84E-49F2-9A2E-19F282E5BA62}"/>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794FBCA4-CBC0-4182-9384-5507698CD9C4}"/>
    <cellStyle name="40% - Accent5 4 3 2 2 3" xfId="25336" xr:uid="{6CCB6461-AD6A-47AF-80E3-83993DFE54A6}"/>
    <cellStyle name="40% - Accent5 4 3 2 3" xfId="12672" xr:uid="{F4B03B31-B6D2-448C-A2D4-757ECEF77DAE}"/>
    <cellStyle name="40% - Accent5 4 3 2 4" xfId="21119" xr:uid="{A4A58F86-56CB-4514-8AAB-4D2979F7F1C6}"/>
    <cellStyle name="40% - Accent5 4 3 3" xfId="5418" xr:uid="{00000000-0005-0000-0000-0000C2060000}"/>
    <cellStyle name="40% - Accent5 4 3 3 2" xfId="14744" xr:uid="{9588C006-F378-4685-93D7-0E80EF4CFD0B}"/>
    <cellStyle name="40% - Accent5 4 3 3 3" xfId="23191" xr:uid="{028BB68F-3FA3-4C59-81C5-ECF48CE85F5E}"/>
    <cellStyle name="40% - Accent5 4 3 4" xfId="10527" xr:uid="{4F187F7A-E13D-49C6-91D2-67568AE6FDD7}"/>
    <cellStyle name="40% - Accent5 4 3 5" xfId="18974" xr:uid="{CEDFAA39-0633-4497-9B45-144643F84435}"/>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B044D729-E4F2-4460-8B3E-7208A539CA56}"/>
    <cellStyle name="40% - Accent5 4 4 2 2 3" xfId="25749" xr:uid="{2EA9075C-276B-4BF2-9784-6579F1149C95}"/>
    <cellStyle name="40% - Accent5 4 4 2 3" xfId="13085" xr:uid="{CCFFF243-17B9-4D49-B465-0583F277FD68}"/>
    <cellStyle name="40% - Accent5 4 4 2 4" xfId="21532" xr:uid="{C81BE13E-1E01-44C9-B454-1A56A67C7348}"/>
    <cellStyle name="40% - Accent5 4 4 3" xfId="5831" xr:uid="{00000000-0005-0000-0000-0000C6060000}"/>
    <cellStyle name="40% - Accent5 4 4 3 2" xfId="15157" xr:uid="{3C9363C7-C88E-4B24-8797-95DE1FCFA0AE}"/>
    <cellStyle name="40% - Accent5 4 4 3 3" xfId="23604" xr:uid="{8B7406AD-9BBC-4B00-8908-693287078022}"/>
    <cellStyle name="40% - Accent5 4 4 4" xfId="10940" xr:uid="{63087E18-008F-4223-A967-73B3E7F7486F}"/>
    <cellStyle name="40% - Accent5 4 4 5" xfId="19387" xr:uid="{3B0D3791-0702-4339-981B-1ADE6A48FBC7}"/>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3B7C402E-F26A-453D-9898-6D320248F006}"/>
    <cellStyle name="40% - Accent5 4 5 2 2 3" xfId="26162" xr:uid="{1085A4FA-2560-403A-BF75-05231FCEF3CE}"/>
    <cellStyle name="40% - Accent5 4 5 2 3" xfId="13498" xr:uid="{ACEDA616-6F48-4439-8174-D5DA3A2FB537}"/>
    <cellStyle name="40% - Accent5 4 5 2 4" xfId="21945" xr:uid="{D0F8A518-5F1E-4F3E-823D-38202F184012}"/>
    <cellStyle name="40% - Accent5 4 5 3" xfId="6244" xr:uid="{00000000-0005-0000-0000-0000CA060000}"/>
    <cellStyle name="40% - Accent5 4 5 3 2" xfId="15570" xr:uid="{49EB021C-9DBD-4CC1-8A64-546371E2F72C}"/>
    <cellStyle name="40% - Accent5 4 5 3 3" xfId="24017" xr:uid="{88C4CDE1-7FB7-49ED-AA12-A82ED6D5F062}"/>
    <cellStyle name="40% - Accent5 4 5 4" xfId="11353" xr:uid="{A799DF5A-EC30-43DA-B0BD-732380FC99D1}"/>
    <cellStyle name="40% - Accent5 4 5 5" xfId="19800" xr:uid="{CC262226-A83A-4072-82E8-2B142C06FDC6}"/>
    <cellStyle name="40% - Accent5 4 6" xfId="2351" xr:uid="{00000000-0005-0000-0000-0000CB060000}"/>
    <cellStyle name="40% - Accent5 4 6 2" xfId="6657" xr:uid="{00000000-0005-0000-0000-0000CC060000}"/>
    <cellStyle name="40% - Accent5 4 6 2 2" xfId="15983" xr:uid="{9A75D78F-AA61-4EF3-951D-F67FC990A29B}"/>
    <cellStyle name="40% - Accent5 4 6 2 3" xfId="24430" xr:uid="{2565610F-924C-4D2E-8F40-6D5D63F6F466}"/>
    <cellStyle name="40% - Accent5 4 6 3" xfId="11766" xr:uid="{EC0E3FFB-AF30-447E-9361-E7DE28D9903A}"/>
    <cellStyle name="40% - Accent5 4 6 4" xfId="20213" xr:uid="{8DC3B611-E4A7-4FB5-BF41-EAA3F19B5669}"/>
    <cellStyle name="40% - Accent5 4 7" xfId="4591" xr:uid="{00000000-0005-0000-0000-0000CD060000}"/>
    <cellStyle name="40% - Accent5 4 7 2" xfId="13917" xr:uid="{A7304389-62D5-4B6B-9FA9-C27CE2206B5B}"/>
    <cellStyle name="40% - Accent5 4 7 3" xfId="22364" xr:uid="{4C9D3D9A-693F-4618-A7B6-DCCC955C0FE9}"/>
    <cellStyle name="40% - Accent5 4 8" xfId="8956" xr:uid="{20EBAEFE-DF5E-4B38-878B-CDA5BD3DABC1}"/>
    <cellStyle name="40% - Accent5 4 9" xfId="9700" xr:uid="{5C2D5938-DEB9-4859-9796-116958022358}"/>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388D96EF-F090-4E45-A22D-6EA67248148F}"/>
    <cellStyle name="40% - Accent5 5 2 2 3" xfId="24916" xr:uid="{921CC2AA-8EE5-4340-9DA7-4D6DB77C4331}"/>
    <cellStyle name="40% - Accent5 5 2 3" xfId="12252" xr:uid="{2975DD4B-0000-4B37-8764-F7F52EE2954E}"/>
    <cellStyle name="40% - Accent5 5 2 4" xfId="20699" xr:uid="{B7919154-FBA3-4E8E-A0CC-B6245E2415ED}"/>
    <cellStyle name="40% - Accent5 5 3" xfId="4998" xr:uid="{00000000-0005-0000-0000-0000D1060000}"/>
    <cellStyle name="40% - Accent5 5 3 2" xfId="14324" xr:uid="{8471FE3C-5BD3-4379-A787-9E2331CE1774}"/>
    <cellStyle name="40% - Accent5 5 3 3" xfId="22771" xr:uid="{1E4522EF-EB74-4E0C-9D30-5DFC3CFDD309}"/>
    <cellStyle name="40% - Accent5 5 4" xfId="9189" xr:uid="{AE9A155E-B06B-4FF1-8984-8F7810581B15}"/>
    <cellStyle name="40% - Accent5 5 5" xfId="10107" xr:uid="{27F03F6E-0B0F-4A1E-AD3F-CDDA77E9F43C}"/>
    <cellStyle name="40% - Accent5 5 6" xfId="18554" xr:uid="{6C2BF317-EF0C-442F-96F1-C6C4AD7F505A}"/>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E236865E-6E4A-4EFC-8FB3-97FF3FBB7F45}"/>
    <cellStyle name="40% - Accent5 6 2 2 3" xfId="25329" xr:uid="{0CFEF262-7B94-479C-843F-A582745F2891}"/>
    <cellStyle name="40% - Accent5 6 2 3" xfId="12665" xr:uid="{DAF48F71-7A97-4303-A271-723110470D41}"/>
    <cellStyle name="40% - Accent5 6 2 4" xfId="21112" xr:uid="{F42DD94B-F57A-4BFE-BBD7-72AF67C2818A}"/>
    <cellStyle name="40% - Accent5 6 3" xfId="5411" xr:uid="{00000000-0005-0000-0000-0000D5060000}"/>
    <cellStyle name="40% - Accent5 6 3 2" xfId="14737" xr:uid="{D8282637-E1A0-4E23-8DCF-0EF43C011363}"/>
    <cellStyle name="40% - Accent5 6 3 3" xfId="23184" xr:uid="{72DEAF70-C468-4664-8A8F-B66CB1C76238}"/>
    <cellStyle name="40% - Accent5 6 4" xfId="10520" xr:uid="{8575CC9E-0C72-4F30-BAB3-DE3FF2768A09}"/>
    <cellStyle name="40% - Accent5 6 5" xfId="18967" xr:uid="{ED431913-3FB6-4463-B845-FE95BA4AA480}"/>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19FC3A71-5649-43D9-AA00-B2BDDE34492E}"/>
    <cellStyle name="40% - Accent5 7 2 2 3" xfId="25742" xr:uid="{56051C2A-556E-44EA-858E-40D33E70B1D2}"/>
    <cellStyle name="40% - Accent5 7 2 3" xfId="13078" xr:uid="{0F5DB564-CDE0-4ABA-83E4-77C706C91653}"/>
    <cellStyle name="40% - Accent5 7 2 4" xfId="21525" xr:uid="{091BD988-18A2-4FAD-9011-E2461A511356}"/>
    <cellStyle name="40% - Accent5 7 3" xfId="5824" xr:uid="{00000000-0005-0000-0000-0000D9060000}"/>
    <cellStyle name="40% - Accent5 7 3 2" xfId="15150" xr:uid="{9F94E3FD-D37C-41CC-A258-91B046AE99B7}"/>
    <cellStyle name="40% - Accent5 7 3 3" xfId="23597" xr:uid="{8FE1BC8E-9000-4D5F-836E-3269E6C154A8}"/>
    <cellStyle name="40% - Accent5 7 4" xfId="10933" xr:uid="{9362DF03-D69E-468B-A1A4-BEE0160DD78A}"/>
    <cellStyle name="40% - Accent5 7 5" xfId="19380" xr:uid="{262A8018-FBDD-490A-9546-E63C9BCA9943}"/>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44D47D5C-B04C-4341-ADD1-99972EEC51B3}"/>
    <cellStyle name="40% - Accent5 8 2 2 3" xfId="26155" xr:uid="{8E153C7A-1D93-44CB-8331-3F100EC57F30}"/>
    <cellStyle name="40% - Accent5 8 2 3" xfId="13491" xr:uid="{4450CBA2-AC8E-4A1F-BAEF-2C65430B5537}"/>
    <cellStyle name="40% - Accent5 8 2 4" xfId="21938" xr:uid="{182F0961-E435-4B4D-9F5B-552F60905780}"/>
    <cellStyle name="40% - Accent5 8 3" xfId="6237" xr:uid="{00000000-0005-0000-0000-0000DD060000}"/>
    <cellStyle name="40% - Accent5 8 3 2" xfId="15563" xr:uid="{A9AA402A-BF05-43FD-BD88-2289A773C615}"/>
    <cellStyle name="40% - Accent5 8 3 3" xfId="24010" xr:uid="{462A0407-E2F4-42D9-8CED-8812C4F281E2}"/>
    <cellStyle name="40% - Accent5 8 4" xfId="11346" xr:uid="{2480FD78-4940-4D09-B132-1EDA0B460D0E}"/>
    <cellStyle name="40% - Accent5 8 5" xfId="19793" xr:uid="{68905E01-B46B-4D1F-B1D7-894189A64559}"/>
    <cellStyle name="40% - Accent5 9" xfId="2344" xr:uid="{00000000-0005-0000-0000-0000DE060000}"/>
    <cellStyle name="40% - Accent5 9 2" xfId="6650" xr:uid="{00000000-0005-0000-0000-0000DF060000}"/>
    <cellStyle name="40% - Accent5 9 2 2" xfId="15976" xr:uid="{84C36BF9-73CC-4FAC-8542-220483C240D8}"/>
    <cellStyle name="40% - Accent5 9 2 3" xfId="24423" xr:uid="{FBC1867A-AF49-4CDD-A553-1DE39611AD8B}"/>
    <cellStyle name="40% - Accent5 9 3" xfId="11759" xr:uid="{435F3372-7C7A-41E6-B8C0-48061D8F5D54}"/>
    <cellStyle name="40% - Accent5 9 4" xfId="20206" xr:uid="{42068BE8-5235-442B-9308-B07C081049FA}"/>
    <cellStyle name="40% - Accent6" xfId="89" builtinId="51" customBuiltin="1"/>
    <cellStyle name="40% - Accent6 10" xfId="4592" xr:uid="{00000000-0005-0000-0000-0000E1060000}"/>
    <cellStyle name="40% - Accent6 10 2" xfId="13918" xr:uid="{6FE6B93B-6FA7-467E-BFD6-5F2742507E45}"/>
    <cellStyle name="40% - Accent6 10 3" xfId="22365" xr:uid="{F6E227CC-78C9-41F0-894F-7733284385E2}"/>
    <cellStyle name="40% - Accent6 11" xfId="8769" xr:uid="{8369FE49-3815-490F-BF3A-3BEB88E35DFA}"/>
    <cellStyle name="40% - Accent6 12" xfId="9701" xr:uid="{5686CFB4-8970-48C3-80C7-4159D36D68C9}"/>
    <cellStyle name="40% - Accent6 13" xfId="18148" xr:uid="{EB27A50D-246A-4E15-8AB1-E851B47CF08A}"/>
    <cellStyle name="40% - Accent6 2" xfId="90" xr:uid="{00000000-0005-0000-0000-0000E2060000}"/>
    <cellStyle name="40% - Accent6 2 10" xfId="8803" xr:uid="{3530B69D-EB1D-41EA-A6FB-440FE4FE29AB}"/>
    <cellStyle name="40% - Accent6 2 11" xfId="9702" xr:uid="{0D32FD6A-7A09-4262-82DA-05F5DF809125}"/>
    <cellStyle name="40% - Accent6 2 12" xfId="18149" xr:uid="{9D8685DF-AC99-4DC6-AF94-D0640CEC5F8D}"/>
    <cellStyle name="40% - Accent6 2 2" xfId="91" xr:uid="{00000000-0005-0000-0000-0000E3060000}"/>
    <cellStyle name="40% - Accent6 2 2 10" xfId="9703" xr:uid="{A30B30E4-73B8-4AD8-9132-759FA9DDA5FB}"/>
    <cellStyle name="40% - Accent6 2 2 11" xfId="18150" xr:uid="{43CF639D-BBFF-4E9C-9C77-F4F55B26380D}"/>
    <cellStyle name="40% - Accent6 2 2 2" xfId="92" xr:uid="{00000000-0005-0000-0000-0000E4060000}"/>
    <cellStyle name="40% - Accent6 2 2 2 10" xfId="18151" xr:uid="{F12B16D4-A71D-4430-8E56-530686A87FE2}"/>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D1F0D204-E7B7-4436-9101-324A81C5281F}"/>
    <cellStyle name="40% - Accent6 2 2 2 2 2 2 3" xfId="24927" xr:uid="{AC2A8064-C489-4726-8455-A31EFDCF8225}"/>
    <cellStyle name="40% - Accent6 2 2 2 2 2 3" xfId="12263" xr:uid="{D51C962B-72F8-4217-A99F-DEB92F437BCB}"/>
    <cellStyle name="40% - Accent6 2 2 2 2 2 4" xfId="20710" xr:uid="{A762062F-8E35-48BC-A907-5EE2DF96EFE6}"/>
    <cellStyle name="40% - Accent6 2 2 2 2 3" xfId="5009" xr:uid="{00000000-0005-0000-0000-0000E8060000}"/>
    <cellStyle name="40% - Accent6 2 2 2 2 3 2" xfId="14335" xr:uid="{0B9C32FA-320D-483D-B6E3-DDB8BAF60244}"/>
    <cellStyle name="40% - Accent6 2 2 2 2 3 3" xfId="22782" xr:uid="{AC6D316B-B759-419A-8220-4D3192365CE8}"/>
    <cellStyle name="40% - Accent6 2 2 2 2 4" xfId="9538" xr:uid="{D1801D0B-FDF1-4C59-8DE2-DEC53081BC5D}"/>
    <cellStyle name="40% - Accent6 2 2 2 2 5" xfId="10118" xr:uid="{F3B7D242-A9B2-4177-B850-BF92D2FF8A13}"/>
    <cellStyle name="40% - Accent6 2 2 2 2 6" xfId="18565" xr:uid="{69574ACE-D278-458D-995F-4B253FE5147A}"/>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23A41B96-01A5-4545-A195-1414C24E511B}"/>
    <cellStyle name="40% - Accent6 2 2 2 3 2 2 3" xfId="25340" xr:uid="{94C3D100-1FD7-43D6-9FB4-099B24704FA5}"/>
    <cellStyle name="40% - Accent6 2 2 2 3 2 3" xfId="12676" xr:uid="{3AF0785A-2118-4C66-AF4F-3D83425D17CB}"/>
    <cellStyle name="40% - Accent6 2 2 2 3 2 4" xfId="21123" xr:uid="{FADB98E2-4ADC-4C4E-A42A-6627EB6B50B4}"/>
    <cellStyle name="40% - Accent6 2 2 2 3 3" xfId="5422" xr:uid="{00000000-0005-0000-0000-0000EC060000}"/>
    <cellStyle name="40% - Accent6 2 2 2 3 3 2" xfId="14748" xr:uid="{E4180DE9-AA05-49A3-BDCB-0163CEC04116}"/>
    <cellStyle name="40% - Accent6 2 2 2 3 3 3" xfId="23195" xr:uid="{08317DD9-0BD8-4EDD-9841-C920DC3ACF62}"/>
    <cellStyle name="40% - Accent6 2 2 2 3 4" xfId="10531" xr:uid="{F1DD873F-D3AC-4777-9502-7C3D5575670A}"/>
    <cellStyle name="40% - Accent6 2 2 2 3 5" xfId="18978" xr:uid="{43FB5DE5-5613-428F-A7E2-E898C0150C83}"/>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3F464B0C-00BE-45E9-997B-68A5FD4A486F}"/>
    <cellStyle name="40% - Accent6 2 2 2 4 2 2 3" xfId="25753" xr:uid="{E72378AB-3BA6-46AC-98E8-81ACE90FC49F}"/>
    <cellStyle name="40% - Accent6 2 2 2 4 2 3" xfId="13089" xr:uid="{DF63F9F6-E052-4179-8F34-C13B7BD3F0EB}"/>
    <cellStyle name="40% - Accent6 2 2 2 4 2 4" xfId="21536" xr:uid="{2B30CAE8-FEC9-49F0-AD54-8CD0C5EA5BC8}"/>
    <cellStyle name="40% - Accent6 2 2 2 4 3" xfId="5835" xr:uid="{00000000-0005-0000-0000-0000F0060000}"/>
    <cellStyle name="40% - Accent6 2 2 2 4 3 2" xfId="15161" xr:uid="{5A0847F9-6988-4DC3-AF42-A9E719CF4F75}"/>
    <cellStyle name="40% - Accent6 2 2 2 4 3 3" xfId="23608" xr:uid="{7ACFEC9C-07FF-42CB-A72A-8FB70C35B316}"/>
    <cellStyle name="40% - Accent6 2 2 2 4 4" xfId="10944" xr:uid="{ACD8825A-3051-4C11-B1A0-AB302BBB7829}"/>
    <cellStyle name="40% - Accent6 2 2 2 4 5" xfId="19391" xr:uid="{52EB031D-581C-4468-B3D3-DEE5C3D93C66}"/>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7459CE0E-5552-4AC0-B771-9C6996FF6A6F}"/>
    <cellStyle name="40% - Accent6 2 2 2 5 2 2 3" xfId="26166" xr:uid="{98C444EA-CB9E-4302-BDBF-112E43AFF26E}"/>
    <cellStyle name="40% - Accent6 2 2 2 5 2 3" xfId="13502" xr:uid="{AFCA6089-3511-4F8A-89A3-4B2F7B03BD4C}"/>
    <cellStyle name="40% - Accent6 2 2 2 5 2 4" xfId="21949" xr:uid="{FCDB07BB-AC0C-4B89-BE58-F477AE3C0750}"/>
    <cellStyle name="40% - Accent6 2 2 2 5 3" xfId="6248" xr:uid="{00000000-0005-0000-0000-0000F4060000}"/>
    <cellStyle name="40% - Accent6 2 2 2 5 3 2" xfId="15574" xr:uid="{D72A29CB-B52F-4A27-AF70-9967452881AF}"/>
    <cellStyle name="40% - Accent6 2 2 2 5 3 3" xfId="24021" xr:uid="{F88DF0EF-B5AD-4A3E-B574-B5AFDBE90E56}"/>
    <cellStyle name="40% - Accent6 2 2 2 5 4" xfId="11357" xr:uid="{0918A3A6-5880-4B8C-8A9E-03F0443028E0}"/>
    <cellStyle name="40% - Accent6 2 2 2 5 5" xfId="19804" xr:uid="{D6D7EC72-86BB-4D54-A172-43C4ADDD01EF}"/>
    <cellStyle name="40% - Accent6 2 2 2 6" xfId="2355" xr:uid="{00000000-0005-0000-0000-0000F5060000}"/>
    <cellStyle name="40% - Accent6 2 2 2 6 2" xfId="6661" xr:uid="{00000000-0005-0000-0000-0000F6060000}"/>
    <cellStyle name="40% - Accent6 2 2 2 6 2 2" xfId="15987" xr:uid="{0046777D-68F4-4386-8AF5-23E31145C18A}"/>
    <cellStyle name="40% - Accent6 2 2 2 6 2 3" xfId="24434" xr:uid="{F84BE619-A6DF-481D-AA66-E57218048765}"/>
    <cellStyle name="40% - Accent6 2 2 2 6 3" xfId="11770" xr:uid="{71D0EDFA-FF0B-45BF-A9BE-1243F2B364EF}"/>
    <cellStyle name="40% - Accent6 2 2 2 6 4" xfId="20217" xr:uid="{08F71425-4062-4AE2-A1B2-ADCAE40BFB9C}"/>
    <cellStyle name="40% - Accent6 2 2 2 7" xfId="4595" xr:uid="{00000000-0005-0000-0000-0000F7060000}"/>
    <cellStyle name="40% - Accent6 2 2 2 7 2" xfId="13921" xr:uid="{25B9E677-0705-4D0E-B3B8-EB3996C8626C}"/>
    <cellStyle name="40% - Accent6 2 2 2 7 3" xfId="22368" xr:uid="{51D09AC4-E7C9-447A-AD47-E52BA325F15A}"/>
    <cellStyle name="40% - Accent6 2 2 2 8" xfId="9113" xr:uid="{D9373B4A-E1DA-437A-874A-FCE4D00708EB}"/>
    <cellStyle name="40% - Accent6 2 2 2 9" xfId="9704" xr:uid="{72B44318-9AA2-4447-BCD6-4B5066AA3783}"/>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08A1A7C0-02B3-4766-BBC8-E0C3A892FE1E}"/>
    <cellStyle name="40% - Accent6 2 2 3 2 2 3" xfId="24926" xr:uid="{D035169C-8D73-448C-B435-E5B91315556E}"/>
    <cellStyle name="40% - Accent6 2 2 3 2 3" xfId="12262" xr:uid="{06FC017C-9872-40BD-B741-41502998A47E}"/>
    <cellStyle name="40% - Accent6 2 2 3 2 4" xfId="20709" xr:uid="{EC491079-911B-4040-AAB8-7A36539DBAD9}"/>
    <cellStyle name="40% - Accent6 2 2 3 3" xfId="5008" xr:uid="{00000000-0005-0000-0000-0000FB060000}"/>
    <cellStyle name="40% - Accent6 2 2 3 3 2" xfId="14334" xr:uid="{681425CC-DC9B-4ECD-852F-540473348C0F}"/>
    <cellStyle name="40% - Accent6 2 2 3 3 3" xfId="22781" xr:uid="{8C68C137-80AD-48FC-81F3-881C0CDAA95E}"/>
    <cellStyle name="40% - Accent6 2 2 3 4" xfId="9331" xr:uid="{223B62DA-AA8A-4703-B6D5-D6AA8918B034}"/>
    <cellStyle name="40% - Accent6 2 2 3 5" xfId="10117" xr:uid="{4B58A9D7-BC79-47AF-9BD9-94D7B7048412}"/>
    <cellStyle name="40% - Accent6 2 2 3 6" xfId="18564" xr:uid="{4B043157-388A-4CA8-8F57-2B905843621E}"/>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DC7CA7CF-DD4D-4A1E-A701-3F4E884B9B58}"/>
    <cellStyle name="40% - Accent6 2 2 4 2 2 3" xfId="25339" xr:uid="{1C9E470A-5550-496F-AF2D-A406E7E8C6BE}"/>
    <cellStyle name="40% - Accent6 2 2 4 2 3" xfId="12675" xr:uid="{8FA0507A-8858-47D7-9141-B2240F3963F2}"/>
    <cellStyle name="40% - Accent6 2 2 4 2 4" xfId="21122" xr:uid="{7724F970-45C9-4FA2-B05E-52DEF3D3FFD0}"/>
    <cellStyle name="40% - Accent6 2 2 4 3" xfId="5421" xr:uid="{00000000-0005-0000-0000-0000FF060000}"/>
    <cellStyle name="40% - Accent6 2 2 4 3 2" xfId="14747" xr:uid="{48FBA1C5-96BB-467B-9282-E97CC1CC8049}"/>
    <cellStyle name="40% - Accent6 2 2 4 3 3" xfId="23194" xr:uid="{B77B5585-95D2-4853-8A56-944EEEBD1040}"/>
    <cellStyle name="40% - Accent6 2 2 4 4" xfId="10530" xr:uid="{D1B636E8-BBE5-4E8D-8B4D-C666CC01A5B0}"/>
    <cellStyle name="40% - Accent6 2 2 4 5" xfId="18977" xr:uid="{E1EB5DD1-AE67-487C-8CA6-84ADFD5392A7}"/>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CB755EFF-F8E6-4A4F-92A9-BF052A4519E3}"/>
    <cellStyle name="40% - Accent6 2 2 5 2 2 3" xfId="25752" xr:uid="{E1496FAF-5FD9-4B2E-B082-AFF85903B549}"/>
    <cellStyle name="40% - Accent6 2 2 5 2 3" xfId="13088" xr:uid="{D70E38E3-E675-433C-9395-E91761CB3308}"/>
    <cellStyle name="40% - Accent6 2 2 5 2 4" xfId="21535" xr:uid="{BA21457D-8180-4969-A657-9F3FB03E54D4}"/>
    <cellStyle name="40% - Accent6 2 2 5 3" xfId="5834" xr:uid="{00000000-0005-0000-0000-000003070000}"/>
    <cellStyle name="40% - Accent6 2 2 5 3 2" xfId="15160" xr:uid="{9D8F48B0-2E2E-4252-8DDE-5BB6C57D4227}"/>
    <cellStyle name="40% - Accent6 2 2 5 3 3" xfId="23607" xr:uid="{DA53E362-FFE4-4DC8-A550-5210EB1A0899}"/>
    <cellStyle name="40% - Accent6 2 2 5 4" xfId="10943" xr:uid="{93900E45-9C3C-43B1-8297-70C2B1248FE5}"/>
    <cellStyle name="40% - Accent6 2 2 5 5" xfId="19390" xr:uid="{D2875112-5A93-4FA2-81E2-86FC8FCAA714}"/>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EEF45187-1BA6-4AA9-8ACA-72014A263D33}"/>
    <cellStyle name="40% - Accent6 2 2 6 2 2 3" xfId="26165" xr:uid="{11779FF6-873D-4BAF-A821-AC873319A130}"/>
    <cellStyle name="40% - Accent6 2 2 6 2 3" xfId="13501" xr:uid="{7259E016-E264-4C06-B756-03CD076968F0}"/>
    <cellStyle name="40% - Accent6 2 2 6 2 4" xfId="21948" xr:uid="{9178DF7F-9DC7-4A8E-814E-C4F07CCD2FDD}"/>
    <cellStyle name="40% - Accent6 2 2 6 3" xfId="6247" xr:uid="{00000000-0005-0000-0000-000007070000}"/>
    <cellStyle name="40% - Accent6 2 2 6 3 2" xfId="15573" xr:uid="{D8B889EA-D44A-4FBA-8583-8A0B1D296E72}"/>
    <cellStyle name="40% - Accent6 2 2 6 3 3" xfId="24020" xr:uid="{306A507E-05C1-4830-A307-06593205985C}"/>
    <cellStyle name="40% - Accent6 2 2 6 4" xfId="11356" xr:uid="{3639E7FD-83E6-42FF-BD36-02E417863C00}"/>
    <cellStyle name="40% - Accent6 2 2 6 5" xfId="19803" xr:uid="{1D9455E2-C8BD-422E-813F-F6852613209D}"/>
    <cellStyle name="40% - Accent6 2 2 7" xfId="2354" xr:uid="{00000000-0005-0000-0000-000008070000}"/>
    <cellStyle name="40% - Accent6 2 2 7 2" xfId="6660" xr:uid="{00000000-0005-0000-0000-000009070000}"/>
    <cellStyle name="40% - Accent6 2 2 7 2 2" xfId="15986" xr:uid="{A1F8413C-33CB-4A31-BA8A-9E4F66719501}"/>
    <cellStyle name="40% - Accent6 2 2 7 2 3" xfId="24433" xr:uid="{6A52F6D6-F426-4729-94AC-5F649532A3F3}"/>
    <cellStyle name="40% - Accent6 2 2 7 3" xfId="11769" xr:uid="{B6D4D37C-5F24-402C-9220-F870978A6C1B}"/>
    <cellStyle name="40% - Accent6 2 2 7 4" xfId="20216" xr:uid="{5C31EF52-EED3-4C29-9D3B-63A364F87AE6}"/>
    <cellStyle name="40% - Accent6 2 2 8" xfId="4594" xr:uid="{00000000-0005-0000-0000-00000A070000}"/>
    <cellStyle name="40% - Accent6 2 2 8 2" xfId="13920" xr:uid="{B8DA4AF0-2CC1-463D-BCA8-F8BBB530EC4F}"/>
    <cellStyle name="40% - Accent6 2 2 8 3" xfId="22367" xr:uid="{02489F51-B57E-49D3-92F8-C5BCA0303F47}"/>
    <cellStyle name="40% - Accent6 2 2 9" xfId="8906" xr:uid="{C30FCA09-BA1A-4F54-9397-4FC676425C46}"/>
    <cellStyle name="40% - Accent6 2 3" xfId="93" xr:uid="{00000000-0005-0000-0000-00000B070000}"/>
    <cellStyle name="40% - Accent6 2 3 10" xfId="18152" xr:uid="{6C757D38-4FFA-4358-98E8-C5B7ACB87B7E}"/>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179ABE4F-6BCB-4063-9E05-44A598025A9E}"/>
    <cellStyle name="40% - Accent6 2 3 2 2 2 3" xfId="24928" xr:uid="{4C6A4014-06BA-4EA4-8C68-23BEAF3B31AF}"/>
    <cellStyle name="40% - Accent6 2 3 2 2 3" xfId="12264" xr:uid="{16480543-750C-4CAD-9862-502A2A1D9085}"/>
    <cellStyle name="40% - Accent6 2 3 2 2 4" xfId="20711" xr:uid="{67A8C61E-E1A8-466D-8D09-255EEAF24542}"/>
    <cellStyle name="40% - Accent6 2 3 2 3" xfId="5010" xr:uid="{00000000-0005-0000-0000-00000F070000}"/>
    <cellStyle name="40% - Accent6 2 3 2 3 2" xfId="14336" xr:uid="{DD7190D0-3EEE-49D4-AFC7-606C1869CB34}"/>
    <cellStyle name="40% - Accent6 2 3 2 3 3" xfId="22783" xr:uid="{08F517A9-8FCE-413B-B065-95B6EE9CDC02}"/>
    <cellStyle name="40% - Accent6 2 3 2 4" xfId="9435" xr:uid="{36535681-1736-4584-8CB6-F8F38C9E0E5B}"/>
    <cellStyle name="40% - Accent6 2 3 2 5" xfId="10119" xr:uid="{6D12357C-3512-454A-BF41-7A9D2B2D3C32}"/>
    <cellStyle name="40% - Accent6 2 3 2 6" xfId="18566" xr:uid="{1D047731-13C9-4C2F-BE57-5BA701011FD0}"/>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D05F6F0C-973F-4A6F-BE04-6A9031B84E67}"/>
    <cellStyle name="40% - Accent6 2 3 3 2 2 3" xfId="25341" xr:uid="{2FBC46BB-71E5-40EB-8B37-699328717E71}"/>
    <cellStyle name="40% - Accent6 2 3 3 2 3" xfId="12677" xr:uid="{C846EA8D-63C0-44F4-81C8-A4243660BCAA}"/>
    <cellStyle name="40% - Accent6 2 3 3 2 4" xfId="21124" xr:uid="{8B4EAD40-6E97-41C9-AD58-3E4B75AF9A07}"/>
    <cellStyle name="40% - Accent6 2 3 3 3" xfId="5423" xr:uid="{00000000-0005-0000-0000-000013070000}"/>
    <cellStyle name="40% - Accent6 2 3 3 3 2" xfId="14749" xr:uid="{BAF9D181-C2A0-4592-B5A5-C22405EF65BD}"/>
    <cellStyle name="40% - Accent6 2 3 3 3 3" xfId="23196" xr:uid="{79CAEB68-2F95-4CC5-9C29-3AA7DEB21386}"/>
    <cellStyle name="40% - Accent6 2 3 3 4" xfId="10532" xr:uid="{33F8D5B2-75DE-4FBB-BE11-F906092A5800}"/>
    <cellStyle name="40% - Accent6 2 3 3 5" xfId="18979" xr:uid="{528FC365-FFEF-4473-98D5-B4008B5455F4}"/>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3F98E5DC-926B-41D3-B8CE-42C4F1581F2D}"/>
    <cellStyle name="40% - Accent6 2 3 4 2 2 3" xfId="25754" xr:uid="{314F71EA-850D-46FA-90A0-BA2DE46362B0}"/>
    <cellStyle name="40% - Accent6 2 3 4 2 3" xfId="13090" xr:uid="{F91F1A29-438E-49E8-A00D-44D64AFAE407}"/>
    <cellStyle name="40% - Accent6 2 3 4 2 4" xfId="21537" xr:uid="{71759190-EC02-4352-B0D0-9648450C893A}"/>
    <cellStyle name="40% - Accent6 2 3 4 3" xfId="5836" xr:uid="{00000000-0005-0000-0000-000017070000}"/>
    <cellStyle name="40% - Accent6 2 3 4 3 2" xfId="15162" xr:uid="{DB6F76DF-8DDF-47E9-9574-D291039B09B3}"/>
    <cellStyle name="40% - Accent6 2 3 4 3 3" xfId="23609" xr:uid="{A1DD2408-D5D5-4575-AA9A-62EAAA526A82}"/>
    <cellStyle name="40% - Accent6 2 3 4 4" xfId="10945" xr:uid="{5A336849-8D8E-46A2-833C-5632451A62D8}"/>
    <cellStyle name="40% - Accent6 2 3 4 5" xfId="19392" xr:uid="{3AD9A46F-108D-41D3-9E23-0EB4735B6207}"/>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B17CB094-EC26-4E3E-B69D-2D1FCC81946A}"/>
    <cellStyle name="40% - Accent6 2 3 5 2 2 3" xfId="26167" xr:uid="{C9ACE7CE-8060-4C72-B9E3-539DD5875BF2}"/>
    <cellStyle name="40% - Accent6 2 3 5 2 3" xfId="13503" xr:uid="{A0910F07-A9C4-467F-8B37-BDE90B8767B6}"/>
    <cellStyle name="40% - Accent6 2 3 5 2 4" xfId="21950" xr:uid="{ACD9C37E-B7DF-4D7E-89B0-01772E22022B}"/>
    <cellStyle name="40% - Accent6 2 3 5 3" xfId="6249" xr:uid="{00000000-0005-0000-0000-00001B070000}"/>
    <cellStyle name="40% - Accent6 2 3 5 3 2" xfId="15575" xr:uid="{3CE89AA6-6E30-4F4A-B2F2-88E8F83B6D0B}"/>
    <cellStyle name="40% - Accent6 2 3 5 3 3" xfId="24022" xr:uid="{863E6F77-BC61-445E-B74D-3D4ACAF65493}"/>
    <cellStyle name="40% - Accent6 2 3 5 4" xfId="11358" xr:uid="{F85F1D20-1D1D-4E5A-989A-68E5FBCEE6E2}"/>
    <cellStyle name="40% - Accent6 2 3 5 5" xfId="19805" xr:uid="{EA124790-3FA1-47B7-832B-2B8C2BCEABC3}"/>
    <cellStyle name="40% - Accent6 2 3 6" xfId="2356" xr:uid="{00000000-0005-0000-0000-00001C070000}"/>
    <cellStyle name="40% - Accent6 2 3 6 2" xfId="6662" xr:uid="{00000000-0005-0000-0000-00001D070000}"/>
    <cellStyle name="40% - Accent6 2 3 6 2 2" xfId="15988" xr:uid="{FE459C28-184E-4EFD-8EBC-EAD370D99514}"/>
    <cellStyle name="40% - Accent6 2 3 6 2 3" xfId="24435" xr:uid="{A54E6B97-523E-4E7D-8BFC-7CD249EB3841}"/>
    <cellStyle name="40% - Accent6 2 3 6 3" xfId="11771" xr:uid="{72ED49EF-47C8-4C74-B3A6-5FED12F89144}"/>
    <cellStyle name="40% - Accent6 2 3 6 4" xfId="20218" xr:uid="{C3AC3A5E-ABF1-46BA-A1D4-E9DC0B561DDF}"/>
    <cellStyle name="40% - Accent6 2 3 7" xfId="4596" xr:uid="{00000000-0005-0000-0000-00001E070000}"/>
    <cellStyle name="40% - Accent6 2 3 7 2" xfId="13922" xr:uid="{F83705DC-BCAB-4932-8A8A-353BFFCA1C11}"/>
    <cellStyle name="40% - Accent6 2 3 7 3" xfId="22369" xr:uid="{6BB849E5-9FD9-478A-9BA6-3890CE9C543C}"/>
    <cellStyle name="40% - Accent6 2 3 8" xfId="9010" xr:uid="{63E1B5F8-FE5F-441F-B768-94B1D98CB2B1}"/>
    <cellStyle name="40% - Accent6 2 3 9" xfId="9705" xr:uid="{C8983E9F-3B9A-4459-9A77-2FD6698AEABF}"/>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A833323D-3430-4E86-909B-23302F891424}"/>
    <cellStyle name="40% - Accent6 2 4 2 2 3" xfId="24925" xr:uid="{CEB773DB-B043-4FEA-86D9-EA9031CB0D1A}"/>
    <cellStyle name="40% - Accent6 2 4 2 3" xfId="12261" xr:uid="{02601532-A10D-48BA-A5FF-C947B2D93C28}"/>
    <cellStyle name="40% - Accent6 2 4 2 4" xfId="20708" xr:uid="{63B46B9F-81FF-40F6-928E-3E93B6D06DC5}"/>
    <cellStyle name="40% - Accent6 2 4 3" xfId="5007" xr:uid="{00000000-0005-0000-0000-000022070000}"/>
    <cellStyle name="40% - Accent6 2 4 3 2" xfId="14333" xr:uid="{31DEF482-1AD6-41E5-91C7-F33FD2BC3777}"/>
    <cellStyle name="40% - Accent6 2 4 3 3" xfId="22780" xr:uid="{F8DF0493-BADB-4148-93E5-55305A38C7CD}"/>
    <cellStyle name="40% - Accent6 2 4 4" xfId="9227" xr:uid="{61BC3AC1-FAE9-47DF-8143-7EECE05FF8D3}"/>
    <cellStyle name="40% - Accent6 2 4 5" xfId="10116" xr:uid="{D32B0EB6-86FB-4FA5-99FD-88BC9F888F50}"/>
    <cellStyle name="40% - Accent6 2 4 6" xfId="18563" xr:uid="{B4F2D8EA-6363-485B-B96E-CD68D422AC3B}"/>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95C8D7AB-761A-44B9-8530-75934D2D3DEE}"/>
    <cellStyle name="40% - Accent6 2 5 2 2 3" xfId="25338" xr:uid="{B2D57A45-AEED-4AE7-93BA-73C541D40CEA}"/>
    <cellStyle name="40% - Accent6 2 5 2 3" xfId="12674" xr:uid="{20C8D500-B6F4-4EE4-A290-8706F6F319E8}"/>
    <cellStyle name="40% - Accent6 2 5 2 4" xfId="21121" xr:uid="{FE8A99DF-74B7-4B73-87BB-3358F18623F7}"/>
    <cellStyle name="40% - Accent6 2 5 3" xfId="5420" xr:uid="{00000000-0005-0000-0000-000026070000}"/>
    <cellStyle name="40% - Accent6 2 5 3 2" xfId="14746" xr:uid="{B46DE832-919A-4C9C-A29A-E02E73EFB3CF}"/>
    <cellStyle name="40% - Accent6 2 5 3 3" xfId="23193" xr:uid="{E02CA339-B4BA-47A9-BD19-C86C06D3757B}"/>
    <cellStyle name="40% - Accent6 2 5 4" xfId="10529" xr:uid="{12A89D48-0A5D-4F36-A4EE-B4C9D5FE534A}"/>
    <cellStyle name="40% - Accent6 2 5 5" xfId="18976" xr:uid="{EF2406EA-C716-484E-A600-7072B8E6719C}"/>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7DA60767-A488-4F79-8C25-F2873FD3C491}"/>
    <cellStyle name="40% - Accent6 2 6 2 2 3" xfId="25751" xr:uid="{5EE201BC-F7FF-41D9-9DA3-64110904185D}"/>
    <cellStyle name="40% - Accent6 2 6 2 3" xfId="13087" xr:uid="{AF75763B-E726-4B75-A3B0-C4684D7EAE22}"/>
    <cellStyle name="40% - Accent6 2 6 2 4" xfId="21534" xr:uid="{CC41413A-B617-4226-A0F8-CA222C0300B4}"/>
    <cellStyle name="40% - Accent6 2 6 3" xfId="5833" xr:uid="{00000000-0005-0000-0000-00002A070000}"/>
    <cellStyle name="40% - Accent6 2 6 3 2" xfId="15159" xr:uid="{B0B54D8E-2A41-4EB8-998A-1F45836A4D94}"/>
    <cellStyle name="40% - Accent6 2 6 3 3" xfId="23606" xr:uid="{B487F322-D5B5-4ED7-9792-7BF2235D744F}"/>
    <cellStyle name="40% - Accent6 2 6 4" xfId="10942" xr:uid="{9BF5959C-43E1-44CD-86D2-A89818949A83}"/>
    <cellStyle name="40% - Accent6 2 6 5" xfId="19389" xr:uid="{B839B0C9-7A57-4175-87C1-673D64B232CB}"/>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169418C9-597B-4BA0-B8DD-DBCD19C3C282}"/>
    <cellStyle name="40% - Accent6 2 7 2 2 3" xfId="26164" xr:uid="{A5B526C1-C675-411D-BF1A-09FE974E360A}"/>
    <cellStyle name="40% - Accent6 2 7 2 3" xfId="13500" xr:uid="{B3B2AD2C-7088-462C-A933-11C73F2A8337}"/>
    <cellStyle name="40% - Accent6 2 7 2 4" xfId="21947" xr:uid="{4FA9F1D0-F0A7-4CD7-9AED-E8B47670A3D0}"/>
    <cellStyle name="40% - Accent6 2 7 3" xfId="6246" xr:uid="{00000000-0005-0000-0000-00002E070000}"/>
    <cellStyle name="40% - Accent6 2 7 3 2" xfId="15572" xr:uid="{B020436B-C66D-48E4-A650-163BC2E83D2F}"/>
    <cellStyle name="40% - Accent6 2 7 3 3" xfId="24019" xr:uid="{097FBBA7-022B-4891-96D4-E79573066ABF}"/>
    <cellStyle name="40% - Accent6 2 7 4" xfId="11355" xr:uid="{CF7109D3-5C46-4122-90D7-E3CC8435CE6A}"/>
    <cellStyle name="40% - Accent6 2 7 5" xfId="19802" xr:uid="{262F4877-3F69-4C84-ADB6-88F0688E698F}"/>
    <cellStyle name="40% - Accent6 2 8" xfId="2353" xr:uid="{00000000-0005-0000-0000-00002F070000}"/>
    <cellStyle name="40% - Accent6 2 8 2" xfId="6659" xr:uid="{00000000-0005-0000-0000-000030070000}"/>
    <cellStyle name="40% - Accent6 2 8 2 2" xfId="15985" xr:uid="{B4E2D50F-525C-4A4A-8D06-E825D6903D48}"/>
    <cellStyle name="40% - Accent6 2 8 2 3" xfId="24432" xr:uid="{14E17485-F056-4C87-A1CD-4B0711426BA9}"/>
    <cellStyle name="40% - Accent6 2 8 3" xfId="11768" xr:uid="{31502F34-F8ED-4B3D-896C-6B51E4E5D92D}"/>
    <cellStyle name="40% - Accent6 2 8 4" xfId="20215" xr:uid="{B8D35CDA-143B-4AE1-B0D7-94D9A694A3FF}"/>
    <cellStyle name="40% - Accent6 2 9" xfId="4593" xr:uid="{00000000-0005-0000-0000-000031070000}"/>
    <cellStyle name="40% - Accent6 2 9 2" xfId="13919" xr:uid="{4B902A4F-2E19-4184-9FD9-DCC3E8990DB4}"/>
    <cellStyle name="40% - Accent6 2 9 3" xfId="22366" xr:uid="{AF80B3D4-40A7-469C-B030-0CD03AF7EE14}"/>
    <cellStyle name="40% - Accent6 3" xfId="94" xr:uid="{00000000-0005-0000-0000-000032070000}"/>
    <cellStyle name="40% - Accent6 3 10" xfId="9706" xr:uid="{391DC319-AF55-4F50-BA87-694F7821AB1F}"/>
    <cellStyle name="40% - Accent6 3 11" xfId="18153" xr:uid="{1CCC1592-1923-4648-A5CC-756A864728B9}"/>
    <cellStyle name="40% - Accent6 3 2" xfId="95" xr:uid="{00000000-0005-0000-0000-000033070000}"/>
    <cellStyle name="40% - Accent6 3 2 10" xfId="18154" xr:uid="{5B38F0C6-F2B5-4D30-952F-0F51D0537E4A}"/>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14DC2957-32EF-4233-B3AB-040731EFEB4B}"/>
    <cellStyle name="40% - Accent6 3 2 2 2 2 3" xfId="24930" xr:uid="{1F686190-AF68-49BA-95A7-0A66FD1A2F9B}"/>
    <cellStyle name="40% - Accent6 3 2 2 2 3" xfId="12266" xr:uid="{0E46EAFE-A573-4CBD-81EF-953646FF2D88}"/>
    <cellStyle name="40% - Accent6 3 2 2 2 4" xfId="20713" xr:uid="{5D13B3A0-F8EF-493A-8ED0-8A4C84285F30}"/>
    <cellStyle name="40% - Accent6 3 2 2 3" xfId="5012" xr:uid="{00000000-0005-0000-0000-000037070000}"/>
    <cellStyle name="40% - Accent6 3 2 2 3 2" xfId="14338" xr:uid="{B5957802-405D-4F0D-B232-7BECDFA8C0C4}"/>
    <cellStyle name="40% - Accent6 3 2 2 3 3" xfId="22785" xr:uid="{18F77346-768F-4CC4-9701-34519CADFDA4}"/>
    <cellStyle name="40% - Accent6 3 2 2 4" xfId="9504" xr:uid="{23E46585-FD8F-4BA3-8B65-284D6884E4FD}"/>
    <cellStyle name="40% - Accent6 3 2 2 5" xfId="10121" xr:uid="{DE8779D2-C2DF-4E56-97E6-ACA2A78DC048}"/>
    <cellStyle name="40% - Accent6 3 2 2 6" xfId="18568" xr:uid="{EC35B486-5AA7-4D0C-8B26-C030DB15208B}"/>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7FD9C850-A8E2-4DE5-8881-2FA7627316FD}"/>
    <cellStyle name="40% - Accent6 3 2 3 2 2 3" xfId="25343" xr:uid="{410BD398-286D-4773-8E3B-8A657E676D1F}"/>
    <cellStyle name="40% - Accent6 3 2 3 2 3" xfId="12679" xr:uid="{8A47ABBD-EDBF-4DB3-9586-784BF032E8EA}"/>
    <cellStyle name="40% - Accent6 3 2 3 2 4" xfId="21126" xr:uid="{1CF33A01-EFEE-4951-B429-E98C48911EDC}"/>
    <cellStyle name="40% - Accent6 3 2 3 3" xfId="5425" xr:uid="{00000000-0005-0000-0000-00003B070000}"/>
    <cellStyle name="40% - Accent6 3 2 3 3 2" xfId="14751" xr:uid="{2BFD312B-A2B1-4246-B0DD-A4065B4A37BF}"/>
    <cellStyle name="40% - Accent6 3 2 3 3 3" xfId="23198" xr:uid="{D8F31BBC-B470-4CD4-B9AB-7E0132D6D633}"/>
    <cellStyle name="40% - Accent6 3 2 3 4" xfId="10534" xr:uid="{5693CBD8-CB8C-4DC5-BF2E-26B312A689C4}"/>
    <cellStyle name="40% - Accent6 3 2 3 5" xfId="18981" xr:uid="{843F6352-D917-4387-A379-6C1D11CA2E14}"/>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04F2F61C-501F-412E-B3F9-58F4F595B36D}"/>
    <cellStyle name="40% - Accent6 3 2 4 2 2 3" xfId="25756" xr:uid="{94C4B94C-EEC1-4F41-9716-E1D1CD010A19}"/>
    <cellStyle name="40% - Accent6 3 2 4 2 3" xfId="13092" xr:uid="{1AEC4FCA-9AD0-4E43-97EC-D54DAFCC9D52}"/>
    <cellStyle name="40% - Accent6 3 2 4 2 4" xfId="21539" xr:uid="{7C47B47F-DB9E-447D-8C57-265563B3D6AC}"/>
    <cellStyle name="40% - Accent6 3 2 4 3" xfId="5838" xr:uid="{00000000-0005-0000-0000-00003F070000}"/>
    <cellStyle name="40% - Accent6 3 2 4 3 2" xfId="15164" xr:uid="{1CC54256-A208-47E0-9260-D28370D24C5E}"/>
    <cellStyle name="40% - Accent6 3 2 4 3 3" xfId="23611" xr:uid="{007C38AA-51CE-4AFF-BB99-8AE56BB02BC4}"/>
    <cellStyle name="40% - Accent6 3 2 4 4" xfId="10947" xr:uid="{05BD47DA-B5A2-49AA-8BDC-917193C219F4}"/>
    <cellStyle name="40% - Accent6 3 2 4 5" xfId="19394" xr:uid="{A768294B-1817-4200-BC27-B89F055F8E4D}"/>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B8146535-F3C5-4C9D-8126-246A33CADD95}"/>
    <cellStyle name="40% - Accent6 3 2 5 2 2 3" xfId="26169" xr:uid="{F0EF4050-B97E-46B9-B19D-071287C6B51C}"/>
    <cellStyle name="40% - Accent6 3 2 5 2 3" xfId="13505" xr:uid="{2B8D8649-E2A8-4584-ACC9-0AC4433B1E04}"/>
    <cellStyle name="40% - Accent6 3 2 5 2 4" xfId="21952" xr:uid="{B9F4FA7B-D2ED-4AF9-83EA-E7C82C23C9A9}"/>
    <cellStyle name="40% - Accent6 3 2 5 3" xfId="6251" xr:uid="{00000000-0005-0000-0000-000043070000}"/>
    <cellStyle name="40% - Accent6 3 2 5 3 2" xfId="15577" xr:uid="{3DE04747-1CC8-494A-902F-544CE270842F}"/>
    <cellStyle name="40% - Accent6 3 2 5 3 3" xfId="24024" xr:uid="{8BAA59D6-7B48-4D04-B3D5-24F1AD269C4E}"/>
    <cellStyle name="40% - Accent6 3 2 5 4" xfId="11360" xr:uid="{5CF9405E-FED9-41AD-A065-3AAAE4EF0048}"/>
    <cellStyle name="40% - Accent6 3 2 5 5" xfId="19807" xr:uid="{62C4CF26-62CD-48FE-A5ED-2AE7B27C564F}"/>
    <cellStyle name="40% - Accent6 3 2 6" xfId="2358" xr:uid="{00000000-0005-0000-0000-000044070000}"/>
    <cellStyle name="40% - Accent6 3 2 6 2" xfId="6664" xr:uid="{00000000-0005-0000-0000-000045070000}"/>
    <cellStyle name="40% - Accent6 3 2 6 2 2" xfId="15990" xr:uid="{89A89901-3D44-4E98-B8BB-713A3E86DB55}"/>
    <cellStyle name="40% - Accent6 3 2 6 2 3" xfId="24437" xr:uid="{88C98FC0-12E5-4CCC-A6C9-9F22726B333D}"/>
    <cellStyle name="40% - Accent6 3 2 6 3" xfId="11773" xr:uid="{009FA7F3-C930-4FD5-A0C2-4DE9CF6DAECF}"/>
    <cellStyle name="40% - Accent6 3 2 6 4" xfId="20220" xr:uid="{54A988A1-D102-4FF5-8A05-884A4A1D7AE3}"/>
    <cellStyle name="40% - Accent6 3 2 7" xfId="4598" xr:uid="{00000000-0005-0000-0000-000046070000}"/>
    <cellStyle name="40% - Accent6 3 2 7 2" xfId="13924" xr:uid="{BCC98426-051A-43D6-A926-AE3766C3D54B}"/>
    <cellStyle name="40% - Accent6 3 2 7 3" xfId="22371" xr:uid="{793F857F-8F6E-4F88-9DDE-32C17645D112}"/>
    <cellStyle name="40% - Accent6 3 2 8" xfId="9079" xr:uid="{7FA93E2E-699F-4676-8533-A3CC5F80D807}"/>
    <cellStyle name="40% - Accent6 3 2 9" xfId="9707" xr:uid="{0294DA18-4989-45B7-8AE0-BD70649BF5FD}"/>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95728062-BCB5-484B-8CB6-E2595CA85D42}"/>
    <cellStyle name="40% - Accent6 3 3 2 2 3" xfId="24929" xr:uid="{6C0DBC2F-4D34-4939-9118-731696374098}"/>
    <cellStyle name="40% - Accent6 3 3 2 3" xfId="12265" xr:uid="{E1208472-BB41-4E7A-933B-F5B084FCCD56}"/>
    <cellStyle name="40% - Accent6 3 3 2 4" xfId="20712" xr:uid="{C3A53B6A-1C11-4F18-B992-518BE708CD52}"/>
    <cellStyle name="40% - Accent6 3 3 3" xfId="5011" xr:uid="{00000000-0005-0000-0000-00004A070000}"/>
    <cellStyle name="40% - Accent6 3 3 3 2" xfId="14337" xr:uid="{0BE10B9F-F7B7-4ECF-92ED-80B7110341C4}"/>
    <cellStyle name="40% - Accent6 3 3 3 3" xfId="22784" xr:uid="{E38A9406-6E6A-4478-A51D-40856FC63166}"/>
    <cellStyle name="40% - Accent6 3 3 4" xfId="9297" xr:uid="{1226E28F-09E7-4580-8D19-7F14AC1CB4B3}"/>
    <cellStyle name="40% - Accent6 3 3 5" xfId="10120" xr:uid="{326C78C6-8290-42E0-8FF9-5A70F38F3458}"/>
    <cellStyle name="40% - Accent6 3 3 6" xfId="18567" xr:uid="{E1255E7B-3FEF-4E87-8DF8-F4BB1288D173}"/>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4A04013E-55B3-4AA2-B2E4-75CC57C87526}"/>
    <cellStyle name="40% - Accent6 3 4 2 2 3" xfId="25342" xr:uid="{21801265-B612-4123-B432-DFD1A769383E}"/>
    <cellStyle name="40% - Accent6 3 4 2 3" xfId="12678" xr:uid="{4F496003-D3CB-45A8-8C07-1876815065EB}"/>
    <cellStyle name="40% - Accent6 3 4 2 4" xfId="21125" xr:uid="{92613C67-7003-4AC6-9179-DDE88DF1EC4E}"/>
    <cellStyle name="40% - Accent6 3 4 3" xfId="5424" xr:uid="{00000000-0005-0000-0000-00004E070000}"/>
    <cellStyle name="40% - Accent6 3 4 3 2" xfId="14750" xr:uid="{CCF56D49-7FC4-41DA-A225-C3774B5C2A49}"/>
    <cellStyle name="40% - Accent6 3 4 3 3" xfId="23197" xr:uid="{7D3C6EEB-62B9-41DB-B68C-D0DAAA1C352D}"/>
    <cellStyle name="40% - Accent6 3 4 4" xfId="10533" xr:uid="{FDFE62C7-4793-412D-9FC2-735698AC17AB}"/>
    <cellStyle name="40% - Accent6 3 4 5" xfId="18980" xr:uid="{7335E7A8-CCA2-4375-B410-C51B95104687}"/>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D81AD8F9-9569-4338-860C-26928ED63672}"/>
    <cellStyle name="40% - Accent6 3 5 2 2 3" xfId="25755" xr:uid="{706B0548-08A3-4D92-9089-97B497D7EA3E}"/>
    <cellStyle name="40% - Accent6 3 5 2 3" xfId="13091" xr:uid="{BB995BBC-7337-4E23-83B3-A52DDEB92143}"/>
    <cellStyle name="40% - Accent6 3 5 2 4" xfId="21538" xr:uid="{E7F33794-10AE-41DD-A194-51068F8E6106}"/>
    <cellStyle name="40% - Accent6 3 5 3" xfId="5837" xr:uid="{00000000-0005-0000-0000-000052070000}"/>
    <cellStyle name="40% - Accent6 3 5 3 2" xfId="15163" xr:uid="{EE1DFD96-F904-4A13-AA4B-BA035BEEB2E9}"/>
    <cellStyle name="40% - Accent6 3 5 3 3" xfId="23610" xr:uid="{48D6DB04-31CB-418D-B06A-FD42C083773E}"/>
    <cellStyle name="40% - Accent6 3 5 4" xfId="10946" xr:uid="{EE921626-4BD8-413E-B11E-4D7015F4BBDD}"/>
    <cellStyle name="40% - Accent6 3 5 5" xfId="19393" xr:uid="{47910BC4-0E39-45AD-AC11-A9C800F4F72A}"/>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F0115841-4DFC-4D8E-981C-1EF86D4C2810}"/>
    <cellStyle name="40% - Accent6 3 6 2 2 3" xfId="26168" xr:uid="{B6A4C4A2-9126-4C12-B287-B5D7E24AEF7B}"/>
    <cellStyle name="40% - Accent6 3 6 2 3" xfId="13504" xr:uid="{27F199C8-864F-4BF0-87A5-920608BD95F6}"/>
    <cellStyle name="40% - Accent6 3 6 2 4" xfId="21951" xr:uid="{724D8380-A111-445B-AC17-E536D3DAF7B2}"/>
    <cellStyle name="40% - Accent6 3 6 3" xfId="6250" xr:uid="{00000000-0005-0000-0000-000056070000}"/>
    <cellStyle name="40% - Accent6 3 6 3 2" xfId="15576" xr:uid="{3DFD400A-DA22-4308-B4FD-67DDC9698ADF}"/>
    <cellStyle name="40% - Accent6 3 6 3 3" xfId="24023" xr:uid="{3190E050-B8FF-4B9D-9548-C8D5DDD853AD}"/>
    <cellStyle name="40% - Accent6 3 6 4" xfId="11359" xr:uid="{490CFD0A-7C1D-4E93-A1A2-C908EBC51DCE}"/>
    <cellStyle name="40% - Accent6 3 6 5" xfId="19806" xr:uid="{072DBC1C-43B8-457C-A37C-F3199AE543D1}"/>
    <cellStyle name="40% - Accent6 3 7" xfId="2357" xr:uid="{00000000-0005-0000-0000-000057070000}"/>
    <cellStyle name="40% - Accent6 3 7 2" xfId="6663" xr:uid="{00000000-0005-0000-0000-000058070000}"/>
    <cellStyle name="40% - Accent6 3 7 2 2" xfId="15989" xr:uid="{1B7512B7-8B9F-45A5-9BD5-B4EBDD37027A}"/>
    <cellStyle name="40% - Accent6 3 7 2 3" xfId="24436" xr:uid="{FEE9CFDE-876D-4EB7-94C0-D49524FA89F4}"/>
    <cellStyle name="40% - Accent6 3 7 3" xfId="11772" xr:uid="{1D04E03A-1B70-4F69-8AE6-C01DF4B37CD8}"/>
    <cellStyle name="40% - Accent6 3 7 4" xfId="20219" xr:uid="{E24C63A4-64BB-4B0E-9484-E26E424E5624}"/>
    <cellStyle name="40% - Accent6 3 8" xfId="4597" xr:uid="{00000000-0005-0000-0000-000059070000}"/>
    <cellStyle name="40% - Accent6 3 8 2" xfId="13923" xr:uid="{BE9F41DC-555A-4BDA-A6C3-D011F486833D}"/>
    <cellStyle name="40% - Accent6 3 8 3" xfId="22370" xr:uid="{412D0F5D-D688-4928-975B-5262F0D4832C}"/>
    <cellStyle name="40% - Accent6 3 9" xfId="8872" xr:uid="{E018AF0F-504E-4DED-BF70-CC97997D74E9}"/>
    <cellStyle name="40% - Accent6 4" xfId="96" xr:uid="{00000000-0005-0000-0000-00005A070000}"/>
    <cellStyle name="40% - Accent6 4 10" xfId="18155" xr:uid="{FAE618D6-1FA2-48DA-B07A-33349A27852A}"/>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FFA778E7-46A2-455F-A251-4C741593CAAE}"/>
    <cellStyle name="40% - Accent6 4 2 2 2 3" xfId="24931" xr:uid="{CFBA5B69-05A9-4834-BBE2-88277D7F4207}"/>
    <cellStyle name="40% - Accent6 4 2 2 3" xfId="12267" xr:uid="{1AF05800-78B9-4951-B706-180D7ECB278D}"/>
    <cellStyle name="40% - Accent6 4 2 2 4" xfId="20714" xr:uid="{18249FC5-E894-4B32-A5E1-E4E5DF07E75F}"/>
    <cellStyle name="40% - Accent6 4 2 3" xfId="5013" xr:uid="{00000000-0005-0000-0000-00005E070000}"/>
    <cellStyle name="40% - Accent6 4 2 3 2" xfId="14339" xr:uid="{09A71562-825F-477B-83AD-E9B8183CF210}"/>
    <cellStyle name="40% - Accent6 4 2 3 3" xfId="22786" xr:uid="{FE840BBC-D690-4ADD-9219-553F0E8246B8}"/>
    <cellStyle name="40% - Accent6 4 2 4" xfId="9383" xr:uid="{07C7426F-B517-4815-A0BF-2BAE02B26B53}"/>
    <cellStyle name="40% - Accent6 4 2 5" xfId="10122" xr:uid="{A76AF959-CBB4-4310-8F98-AA7C18C3896C}"/>
    <cellStyle name="40% - Accent6 4 2 6" xfId="18569" xr:uid="{E1FC2E5A-E351-4762-8C31-8039FE0F755F}"/>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C8FB3CD2-ACB2-4898-924A-A55BEAB7F562}"/>
    <cellStyle name="40% - Accent6 4 3 2 2 3" xfId="25344" xr:uid="{016E7408-46F2-4C43-AE9E-B66085745BC2}"/>
    <cellStyle name="40% - Accent6 4 3 2 3" xfId="12680" xr:uid="{1687ADF6-E852-4C12-A537-F4D2333ADC5D}"/>
    <cellStyle name="40% - Accent6 4 3 2 4" xfId="21127" xr:uid="{7CF41DA0-846B-46F7-BFE5-3387509AD92D}"/>
    <cellStyle name="40% - Accent6 4 3 3" xfId="5426" xr:uid="{00000000-0005-0000-0000-000062070000}"/>
    <cellStyle name="40% - Accent6 4 3 3 2" xfId="14752" xr:uid="{A6C8AEFA-7BA5-421E-81B6-D94923A7B349}"/>
    <cellStyle name="40% - Accent6 4 3 3 3" xfId="23199" xr:uid="{397500C1-CE62-45A1-9F16-CEE73378BF99}"/>
    <cellStyle name="40% - Accent6 4 3 4" xfId="10535" xr:uid="{FD0FE81F-E715-404A-9701-E26C855FF9CE}"/>
    <cellStyle name="40% - Accent6 4 3 5" xfId="18982" xr:uid="{D9A0256D-2895-4731-94D6-469DC26FEDE6}"/>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8AFE3727-3C87-422C-B43C-C0E76E7C0F66}"/>
    <cellStyle name="40% - Accent6 4 4 2 2 3" xfId="25757" xr:uid="{30344979-0681-4CAE-97BA-7285535F3342}"/>
    <cellStyle name="40% - Accent6 4 4 2 3" xfId="13093" xr:uid="{D037BB8A-8E87-4B56-88D9-6E451AD025A6}"/>
    <cellStyle name="40% - Accent6 4 4 2 4" xfId="21540" xr:uid="{986EFC06-CFDB-44BA-9896-968E7A30C7C6}"/>
    <cellStyle name="40% - Accent6 4 4 3" xfId="5839" xr:uid="{00000000-0005-0000-0000-000066070000}"/>
    <cellStyle name="40% - Accent6 4 4 3 2" xfId="15165" xr:uid="{51F4AD69-63E0-4A1F-B228-38A72770FA4A}"/>
    <cellStyle name="40% - Accent6 4 4 3 3" xfId="23612" xr:uid="{3240E738-9E94-4F38-9F65-2966298647E0}"/>
    <cellStyle name="40% - Accent6 4 4 4" xfId="10948" xr:uid="{C9CBF2A3-E3E2-412D-90ED-0BCFAC49B9E8}"/>
    <cellStyle name="40% - Accent6 4 4 5" xfId="19395" xr:uid="{72D8BF1B-88D4-4D19-BCB7-20F2D173A1FF}"/>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8D8C8BA5-03C5-4218-94C6-5DBD878E5E62}"/>
    <cellStyle name="40% - Accent6 4 5 2 2 3" xfId="26170" xr:uid="{66EA082B-D950-4476-901E-E2CEF8377EA4}"/>
    <cellStyle name="40% - Accent6 4 5 2 3" xfId="13506" xr:uid="{ACD0CF9E-4CC9-417C-8152-AAF6F5F64E8D}"/>
    <cellStyle name="40% - Accent6 4 5 2 4" xfId="21953" xr:uid="{6738AF4D-FFF5-4BFE-A216-B72F5C64092F}"/>
    <cellStyle name="40% - Accent6 4 5 3" xfId="6252" xr:uid="{00000000-0005-0000-0000-00006A070000}"/>
    <cellStyle name="40% - Accent6 4 5 3 2" xfId="15578" xr:uid="{D3500E70-28AF-4149-8F00-64ED50E32A03}"/>
    <cellStyle name="40% - Accent6 4 5 3 3" xfId="24025" xr:uid="{366B0943-0033-49CE-BDAA-3CE1FCCE351E}"/>
    <cellStyle name="40% - Accent6 4 5 4" xfId="11361" xr:uid="{4B59CF50-B519-4D09-BF2A-DC192F0A00C6}"/>
    <cellStyle name="40% - Accent6 4 5 5" xfId="19808" xr:uid="{89FA97A7-2360-42AD-97B7-ED6A9D8B0DDF}"/>
    <cellStyle name="40% - Accent6 4 6" xfId="2359" xr:uid="{00000000-0005-0000-0000-00006B070000}"/>
    <cellStyle name="40% - Accent6 4 6 2" xfId="6665" xr:uid="{00000000-0005-0000-0000-00006C070000}"/>
    <cellStyle name="40% - Accent6 4 6 2 2" xfId="15991" xr:uid="{B3B2342A-DC86-467C-A3E4-B0625FFED2FC}"/>
    <cellStyle name="40% - Accent6 4 6 2 3" xfId="24438" xr:uid="{8FB4B664-FCDA-456A-8738-2724D570D785}"/>
    <cellStyle name="40% - Accent6 4 6 3" xfId="11774" xr:uid="{4F81B26B-1996-4430-9BCE-AC7E32E1596B}"/>
    <cellStyle name="40% - Accent6 4 6 4" xfId="20221" xr:uid="{FD9BBE34-79B7-4DCC-B294-6DD69410607D}"/>
    <cellStyle name="40% - Accent6 4 7" xfId="4599" xr:uid="{00000000-0005-0000-0000-00006D070000}"/>
    <cellStyle name="40% - Accent6 4 7 2" xfId="13925" xr:uid="{84458A1D-E0B3-47C3-ABC4-8B126FDD4E74}"/>
    <cellStyle name="40% - Accent6 4 7 3" xfId="22372" xr:uid="{53BEA528-1716-4F09-B880-A0EFDE85DBAB}"/>
    <cellStyle name="40% - Accent6 4 8" xfId="8958" xr:uid="{058203D5-6D6D-4106-8D68-93F66B236239}"/>
    <cellStyle name="40% - Accent6 4 9" xfId="9708" xr:uid="{42D4F824-F76C-4DBD-8F05-57F58C7882C0}"/>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F455F046-1C4A-4245-B8ED-5E97D3C1C9BD}"/>
    <cellStyle name="40% - Accent6 5 2 2 3" xfId="24924" xr:uid="{9FAD37C5-F0DB-4CBF-B8F6-3BAB2E8951C5}"/>
    <cellStyle name="40% - Accent6 5 2 3" xfId="12260" xr:uid="{0511A260-686A-49A9-A49A-B064C505411A}"/>
    <cellStyle name="40% - Accent6 5 2 4" xfId="20707" xr:uid="{D7F15795-123B-474C-BE26-BFC75142759A}"/>
    <cellStyle name="40% - Accent6 5 3" xfId="5006" xr:uid="{00000000-0005-0000-0000-000071070000}"/>
    <cellStyle name="40% - Accent6 5 3 2" xfId="14332" xr:uid="{0C9A99EB-49C5-4601-A32B-74173CAD5954}"/>
    <cellStyle name="40% - Accent6 5 3 3" xfId="22779" xr:uid="{CF7CA14F-DAA3-4D30-BB9C-7C7EDC715A34}"/>
    <cellStyle name="40% - Accent6 5 4" xfId="9192" xr:uid="{19661A88-B46A-4EF9-A9F3-4BCF8E242108}"/>
    <cellStyle name="40% - Accent6 5 5" xfId="10115" xr:uid="{E7F37DD6-EDBA-4E85-AFD6-A18D03AA9923}"/>
    <cellStyle name="40% - Accent6 5 6" xfId="18562" xr:uid="{D61D21C1-0861-4542-8034-880B9692B280}"/>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6E06D4E6-21FB-4FF6-AD76-9B6E67206514}"/>
    <cellStyle name="40% - Accent6 6 2 2 3" xfId="25337" xr:uid="{8D2C9203-1F97-46DA-924D-9C13E229E33C}"/>
    <cellStyle name="40% - Accent6 6 2 3" xfId="12673" xr:uid="{3FC6C33C-0E9D-4F66-8D29-4332F2977D0D}"/>
    <cellStyle name="40% - Accent6 6 2 4" xfId="21120" xr:uid="{94CD7CF1-243F-412B-B5DD-EF47404FB9C4}"/>
    <cellStyle name="40% - Accent6 6 3" xfId="5419" xr:uid="{00000000-0005-0000-0000-000075070000}"/>
    <cellStyle name="40% - Accent6 6 3 2" xfId="14745" xr:uid="{72525ECB-1C75-4C9D-B6EC-1BEFA566CD0A}"/>
    <cellStyle name="40% - Accent6 6 3 3" xfId="23192" xr:uid="{BBA76CFE-DF58-4A5C-8FB1-C2F8CF859C8F}"/>
    <cellStyle name="40% - Accent6 6 4" xfId="10528" xr:uid="{E6B84F87-7DC6-4D23-BE46-42F486E3416B}"/>
    <cellStyle name="40% - Accent6 6 5" xfId="18975" xr:uid="{7DA945B9-87F3-4E1E-9E41-41D508DE2AEA}"/>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FAC00174-4366-4534-BF33-402976B6F9ED}"/>
    <cellStyle name="40% - Accent6 7 2 2 3" xfId="25750" xr:uid="{20A97A26-A5C3-4540-A8E0-316F35BD6D56}"/>
    <cellStyle name="40% - Accent6 7 2 3" xfId="13086" xr:uid="{B5DDFDB0-1C37-4F4C-9132-796A4D9DCB4E}"/>
    <cellStyle name="40% - Accent6 7 2 4" xfId="21533" xr:uid="{13DDB3B8-17D4-40FA-8AB5-5B3151F23441}"/>
    <cellStyle name="40% - Accent6 7 3" xfId="5832" xr:uid="{00000000-0005-0000-0000-000079070000}"/>
    <cellStyle name="40% - Accent6 7 3 2" xfId="15158" xr:uid="{56D447F2-9BF5-4669-9247-E570F999C28D}"/>
    <cellStyle name="40% - Accent6 7 3 3" xfId="23605" xr:uid="{D4ABABA1-981B-4B0C-A74C-1655EB5F7084}"/>
    <cellStyle name="40% - Accent6 7 4" xfId="10941" xr:uid="{344F42B4-29EB-4392-8258-9DEA56537EED}"/>
    <cellStyle name="40% - Accent6 7 5" xfId="19388" xr:uid="{9FAD84DC-7142-42EC-A9E4-00D7DF365D41}"/>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D776D8E1-48A6-45E9-8AFA-166BD4DB66DD}"/>
    <cellStyle name="40% - Accent6 8 2 2 3" xfId="26163" xr:uid="{CD54ACB0-F89F-4428-BE0E-656E97278BE2}"/>
    <cellStyle name="40% - Accent6 8 2 3" xfId="13499" xr:uid="{07365815-C2AB-46EC-8810-15843911B35B}"/>
    <cellStyle name="40% - Accent6 8 2 4" xfId="21946" xr:uid="{D6B2CF3D-B233-481F-B7F8-2886F8CFECFD}"/>
    <cellStyle name="40% - Accent6 8 3" xfId="6245" xr:uid="{00000000-0005-0000-0000-00007D070000}"/>
    <cellStyle name="40% - Accent6 8 3 2" xfId="15571" xr:uid="{796B5F16-C93B-485D-9634-6521CDFDC819}"/>
    <cellStyle name="40% - Accent6 8 3 3" xfId="24018" xr:uid="{64AAE0FA-AF77-46E7-9158-E7DFCA402495}"/>
    <cellStyle name="40% - Accent6 8 4" xfId="11354" xr:uid="{BC5908A4-FE95-479F-BF90-89911D9157D2}"/>
    <cellStyle name="40% - Accent6 8 5" xfId="19801" xr:uid="{3BA5C2BD-F7CB-4771-AAA5-30F9E28D5A29}"/>
    <cellStyle name="40% - Accent6 9" xfId="2352" xr:uid="{00000000-0005-0000-0000-00007E070000}"/>
    <cellStyle name="40% - Accent6 9 2" xfId="6658" xr:uid="{00000000-0005-0000-0000-00007F070000}"/>
    <cellStyle name="40% - Accent6 9 2 2" xfId="15984" xr:uid="{DA5E5F3A-E264-41DA-94C7-70A620E66833}"/>
    <cellStyle name="40% - Accent6 9 2 3" xfId="24431" xr:uid="{1335088C-2668-4FCD-8703-EF8AE789DFF4}"/>
    <cellStyle name="40% - Accent6 9 3" xfId="11767" xr:uid="{7989A48E-45AE-48A9-A8F8-69E7F54D079A}"/>
    <cellStyle name="40% - Accent6 9 4" xfId="20214" xr:uid="{A7465BD5-A5A0-4DBA-AF2C-E32457198832}"/>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53E8967C-D899-4BB3-9865-326311B644C0}"/>
    <cellStyle name="Comma 4 2 2 2 10 2 3" xfId="24756" xr:uid="{7054B557-63E6-4272-BC56-D81403679709}"/>
    <cellStyle name="Comma 4 2 2 2 10 3" xfId="12092" xr:uid="{0A7A488F-1A0F-49E1-82BF-4EC09A0A3E45}"/>
    <cellStyle name="Comma 4 2 2 2 10 4" xfId="20539" xr:uid="{5C95EBA4-C944-46CA-8971-EEC798B4AA76}"/>
    <cellStyle name="Comma 4 2 2 2 11" xfId="4600" xr:uid="{00000000-0005-0000-0000-0000A3070000}"/>
    <cellStyle name="Comma 4 2 2 2 11 2" xfId="13926" xr:uid="{60408395-E865-4602-ADBF-61AEE4B1B19B}"/>
    <cellStyle name="Comma 4 2 2 2 11 3" xfId="22373" xr:uid="{1E2DDBC6-4293-40CF-A5D0-80282AA5CBDF}"/>
    <cellStyle name="Comma 4 2 2 2 12" xfId="8806" xr:uid="{6C773D0B-D2E3-4A8C-B041-8DA2843B9E25}"/>
    <cellStyle name="Comma 4 2 2 2 13" xfId="9709" xr:uid="{852415A4-92B5-45C1-92ED-3DAC3C3C7C8C}"/>
    <cellStyle name="Comma 4 2 2 2 14" xfId="18156" xr:uid="{DA3719CC-A0BC-4688-BB47-9035D9199063}"/>
    <cellStyle name="Comma 4 2 2 2 2" xfId="129" xr:uid="{00000000-0005-0000-0000-0000A4070000}"/>
    <cellStyle name="Comma 4 2 2 2 2 10" xfId="4601" xr:uid="{00000000-0005-0000-0000-0000A5070000}"/>
    <cellStyle name="Comma 4 2 2 2 2 10 2" xfId="13927" xr:uid="{4314EA4A-D234-4175-940B-AD171C358EDA}"/>
    <cellStyle name="Comma 4 2 2 2 2 10 3" xfId="22374" xr:uid="{F3B76935-329E-4103-ABAE-DF345A93EB35}"/>
    <cellStyle name="Comma 4 2 2 2 2 11" xfId="8909" xr:uid="{477FCE05-1F49-4658-A03C-A8A5E7983C47}"/>
    <cellStyle name="Comma 4 2 2 2 2 12" xfId="9710" xr:uid="{A1E8D87F-3B9A-47DC-9E5C-D3752AC8F4E5}"/>
    <cellStyle name="Comma 4 2 2 2 2 13" xfId="18157" xr:uid="{FF7544A9-4745-4C67-970F-7AD69107324F}"/>
    <cellStyle name="Comma 4 2 2 2 2 2" xfId="130" xr:uid="{00000000-0005-0000-0000-0000A6070000}"/>
    <cellStyle name="Comma 4 2 2 2 2 2 10" xfId="9116" xr:uid="{7A07505D-6B4C-4086-90B5-B5D345FB7611}"/>
    <cellStyle name="Comma 4 2 2 2 2 2 11" xfId="9711" xr:uid="{64219BEA-9BFC-4318-A202-BE3BDA5D25B0}"/>
    <cellStyle name="Comma 4 2 2 2 2 2 12" xfId="18158" xr:uid="{F373B3A6-66BE-495F-AFC0-E097C349931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946E30BC-5BAB-49EA-9A45-AAC7D23A9B2E}"/>
    <cellStyle name="Comma 4 2 2 2 2 2 2 2 2 3" xfId="24934" xr:uid="{A92C0497-33AA-493F-AAF6-2156698A30DE}"/>
    <cellStyle name="Comma 4 2 2 2 2 2 2 2 3" xfId="12270" xr:uid="{DE4E8EB9-49BB-4969-AC1B-CD91948F7CF5}"/>
    <cellStyle name="Comma 4 2 2 2 2 2 2 2 4" xfId="20717" xr:uid="{CEB99AA5-4162-450E-803E-5F408813BE26}"/>
    <cellStyle name="Comma 4 2 2 2 2 2 2 3" xfId="5016" xr:uid="{00000000-0005-0000-0000-0000AA070000}"/>
    <cellStyle name="Comma 4 2 2 2 2 2 2 3 2" xfId="14342" xr:uid="{B65BA891-6240-4E93-AB23-0A101712739A}"/>
    <cellStyle name="Comma 4 2 2 2 2 2 2 3 3" xfId="22789" xr:uid="{EFCC5950-5BFF-41AE-89AF-F3F210E52ED4}"/>
    <cellStyle name="Comma 4 2 2 2 2 2 2 4" xfId="9541" xr:uid="{21DC771E-83A2-48BA-BE40-3E9E8454DE28}"/>
    <cellStyle name="Comma 4 2 2 2 2 2 2 5" xfId="10125" xr:uid="{57D70E48-7197-4F46-BD91-35219B46F0A9}"/>
    <cellStyle name="Comma 4 2 2 2 2 2 2 6" xfId="18572" xr:uid="{8BAABD63-2754-4B79-A9CE-FEFC44F645A6}"/>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F761C530-3834-4752-83BA-60110ECC2ABB}"/>
    <cellStyle name="Comma 4 2 2 2 2 2 3 2 2 3" xfId="25347" xr:uid="{D7AF05C1-49ED-48D9-8650-EF282A15D482}"/>
    <cellStyle name="Comma 4 2 2 2 2 2 3 2 3" xfId="12683" xr:uid="{2877CEAB-238E-4F1D-98F6-D7F8564FA1CB}"/>
    <cellStyle name="Comma 4 2 2 2 2 2 3 2 4" xfId="21130" xr:uid="{6CB6C65F-FAE2-4F00-AEFB-9794FFA76041}"/>
    <cellStyle name="Comma 4 2 2 2 2 2 3 3" xfId="5429" xr:uid="{00000000-0005-0000-0000-0000AE070000}"/>
    <cellStyle name="Comma 4 2 2 2 2 2 3 3 2" xfId="14755" xr:uid="{21AF7167-EBE4-4186-9ADE-91AFC62201A6}"/>
    <cellStyle name="Comma 4 2 2 2 2 2 3 3 3" xfId="23202" xr:uid="{9957C54C-3C5A-4D16-B842-9CEFBA8C0A84}"/>
    <cellStyle name="Comma 4 2 2 2 2 2 3 4" xfId="10538" xr:uid="{0324E7A2-CCC0-45C1-9CFE-BB606478C5D3}"/>
    <cellStyle name="Comma 4 2 2 2 2 2 3 5" xfId="18985" xr:uid="{3DE8150E-D238-485C-A1F6-57460CA961CE}"/>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6A491E04-E521-4D66-9DE0-F89F73468F52}"/>
    <cellStyle name="Comma 4 2 2 2 2 2 4 2 2 3" xfId="25760" xr:uid="{0E7C36B8-A8DD-4C9C-87B5-09961DC33294}"/>
    <cellStyle name="Comma 4 2 2 2 2 2 4 2 3" xfId="13096" xr:uid="{B5D0A8C9-0B78-4F07-8981-9EF46B0FC873}"/>
    <cellStyle name="Comma 4 2 2 2 2 2 4 2 4" xfId="21543" xr:uid="{1048FE27-80C1-4A95-A1E9-CC0B8F20688D}"/>
    <cellStyle name="Comma 4 2 2 2 2 2 4 3" xfId="5842" xr:uid="{00000000-0005-0000-0000-0000B2070000}"/>
    <cellStyle name="Comma 4 2 2 2 2 2 4 3 2" xfId="15168" xr:uid="{5A95D267-3C0D-49D8-8733-052129DD6328}"/>
    <cellStyle name="Comma 4 2 2 2 2 2 4 3 3" xfId="23615" xr:uid="{B1FC969D-73E9-4B55-B677-F1F8E76323AB}"/>
    <cellStyle name="Comma 4 2 2 2 2 2 4 4" xfId="10951" xr:uid="{98D5131C-0C4B-4B50-9758-A735BA0CFBF3}"/>
    <cellStyle name="Comma 4 2 2 2 2 2 4 5" xfId="19398" xr:uid="{8D1F8D7D-CBE3-440E-8CE6-D38E4E471256}"/>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AC21CFC8-704B-4970-AD6A-A9D94B77843A}"/>
    <cellStyle name="Comma 4 2 2 2 2 2 5 2 2 3" xfId="26173" xr:uid="{AC695EFA-1A4C-4A0E-9FC8-CC3757DD8690}"/>
    <cellStyle name="Comma 4 2 2 2 2 2 5 2 3" xfId="13509" xr:uid="{99FDCB66-2BBB-4BFA-A50B-9542EC6FBC2A}"/>
    <cellStyle name="Comma 4 2 2 2 2 2 5 2 4" xfId="21956" xr:uid="{13864934-42AE-40EE-B26B-CA29790AE918}"/>
    <cellStyle name="Comma 4 2 2 2 2 2 5 3" xfId="6255" xr:uid="{00000000-0005-0000-0000-0000B6070000}"/>
    <cellStyle name="Comma 4 2 2 2 2 2 5 3 2" xfId="15581" xr:uid="{0A002D9F-6FEC-40A3-84F8-897479A45C40}"/>
    <cellStyle name="Comma 4 2 2 2 2 2 5 3 3" xfId="24028" xr:uid="{C8162AF4-389D-40EF-824F-3219DD577C0B}"/>
    <cellStyle name="Comma 4 2 2 2 2 2 5 4" xfId="11364" xr:uid="{875E128A-1326-4162-8A6E-757BFB4FBC38}"/>
    <cellStyle name="Comma 4 2 2 2 2 2 5 5" xfId="19811" xr:uid="{E12DD4C3-172F-4614-86A4-47FBCB5034D3}"/>
    <cellStyle name="Comma 4 2 2 2 2 2 6" xfId="2384" xr:uid="{00000000-0005-0000-0000-0000B7070000}"/>
    <cellStyle name="Comma 4 2 2 2 2 2 6 2" xfId="6668" xr:uid="{00000000-0005-0000-0000-0000B8070000}"/>
    <cellStyle name="Comma 4 2 2 2 2 2 6 2 2" xfId="15994" xr:uid="{A0EE5A53-A4A6-46C4-9BD8-8A699B089393}"/>
    <cellStyle name="Comma 4 2 2 2 2 2 6 2 3" xfId="24441" xr:uid="{59583E3E-85BB-4BB6-B422-D6AFF0913E1C}"/>
    <cellStyle name="Comma 4 2 2 2 2 2 6 3" xfId="11777" xr:uid="{CA5C254E-29E9-4225-B0D4-946218B419E0}"/>
    <cellStyle name="Comma 4 2 2 2 2 2 6 4" xfId="20224" xr:uid="{CDD6B96A-B143-4A1B-AE9C-C6C7DB3A4ED7}"/>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0BAC6A54-09AB-4608-A9FB-842B81C0076E}"/>
    <cellStyle name="Comma 4 2 2 2 2 2 8 2 3" xfId="24758" xr:uid="{3287942C-8441-4882-AEF5-A2E4DB05DC1F}"/>
    <cellStyle name="Comma 4 2 2 2 2 2 8 3" xfId="12094" xr:uid="{3A01B13F-837F-43B7-B10F-DA0A6727B440}"/>
    <cellStyle name="Comma 4 2 2 2 2 2 8 4" xfId="20541" xr:uid="{4397171C-DBA4-4403-9877-3707217003A1}"/>
    <cellStyle name="Comma 4 2 2 2 2 2 9" xfId="4602" xr:uid="{00000000-0005-0000-0000-0000BC070000}"/>
    <cellStyle name="Comma 4 2 2 2 2 2 9 2" xfId="13928" xr:uid="{AA5AC794-0093-43EA-B8B3-FFD95B23EA17}"/>
    <cellStyle name="Comma 4 2 2 2 2 2 9 3" xfId="22375" xr:uid="{D2E0649D-CE7E-4854-A5FD-C887F83FF1E7}"/>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ECAE9CF7-6FF0-4D36-9442-6AAAD47858FB}"/>
    <cellStyle name="Comma 4 2 2 2 2 3 2 2 3" xfId="24933" xr:uid="{11E55697-B7B7-41CC-8B74-0D7ABFA37D8C}"/>
    <cellStyle name="Comma 4 2 2 2 2 3 2 3" xfId="12269" xr:uid="{3F07FE2F-CA2A-47C2-B2A9-71C8619FBCBC}"/>
    <cellStyle name="Comma 4 2 2 2 2 3 2 4" xfId="20716" xr:uid="{A714D43A-6D4B-4BA2-A302-A8041F8CF567}"/>
    <cellStyle name="Comma 4 2 2 2 2 3 3" xfId="5015" xr:uid="{00000000-0005-0000-0000-0000C0070000}"/>
    <cellStyle name="Comma 4 2 2 2 2 3 3 2" xfId="14341" xr:uid="{9C2ED061-C8B6-4969-B6BE-82E356C5E427}"/>
    <cellStyle name="Comma 4 2 2 2 2 3 3 3" xfId="22788" xr:uid="{9AD55AEC-F9F1-4370-A618-329707E93E0B}"/>
    <cellStyle name="Comma 4 2 2 2 2 3 4" xfId="9334" xr:uid="{50E8807F-6450-4082-BD30-0A86C2E78D0E}"/>
    <cellStyle name="Comma 4 2 2 2 2 3 5" xfId="10124" xr:uid="{0B053DE8-D09D-47E0-918D-D58F6B6D5C26}"/>
    <cellStyle name="Comma 4 2 2 2 2 3 6" xfId="18571" xr:uid="{D8DA8741-2F0E-4312-AB92-45D44AA1E475}"/>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C5FEF16B-A187-4FF8-AD41-5FE3D461331E}"/>
    <cellStyle name="Comma 4 2 2 2 2 4 2 2 3" xfId="25346" xr:uid="{9F39AC2A-5CB0-486F-A7E2-743EA520C9B9}"/>
    <cellStyle name="Comma 4 2 2 2 2 4 2 3" xfId="12682" xr:uid="{3BFB946C-3606-4220-9DC7-FDE9C70AFA24}"/>
    <cellStyle name="Comma 4 2 2 2 2 4 2 4" xfId="21129" xr:uid="{0B2CB200-891C-402C-9419-8B98027FB597}"/>
    <cellStyle name="Comma 4 2 2 2 2 4 3" xfId="5428" xr:uid="{00000000-0005-0000-0000-0000C4070000}"/>
    <cellStyle name="Comma 4 2 2 2 2 4 3 2" xfId="14754" xr:uid="{6BF61A41-71CB-4BCA-8808-55FC101DD4C8}"/>
    <cellStyle name="Comma 4 2 2 2 2 4 3 3" xfId="23201" xr:uid="{80FD76CC-6406-411E-ADA8-CD608CA7DE42}"/>
    <cellStyle name="Comma 4 2 2 2 2 4 4" xfId="10537" xr:uid="{5E445BC6-7E25-434D-87F6-FE20FE5BBD00}"/>
    <cellStyle name="Comma 4 2 2 2 2 4 5" xfId="18984" xr:uid="{4929CDDF-0CC5-452D-A1C8-68CB70E56A85}"/>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4E2B791D-A35D-4C08-A14F-FB4236759436}"/>
    <cellStyle name="Comma 4 2 2 2 2 5 2 2 3" xfId="25759" xr:uid="{1F699847-5861-4F06-AD55-6E1E0A9B2EC3}"/>
    <cellStyle name="Comma 4 2 2 2 2 5 2 3" xfId="13095" xr:uid="{DFE87854-E2AA-4749-B37D-2347C47A1FE7}"/>
    <cellStyle name="Comma 4 2 2 2 2 5 2 4" xfId="21542" xr:uid="{BE25B3A3-2331-4C0F-8D83-D4AE7693A1DE}"/>
    <cellStyle name="Comma 4 2 2 2 2 5 3" xfId="5841" xr:uid="{00000000-0005-0000-0000-0000C8070000}"/>
    <cellStyle name="Comma 4 2 2 2 2 5 3 2" xfId="15167" xr:uid="{C0E4EE24-B583-4602-8646-46EB24AE59D4}"/>
    <cellStyle name="Comma 4 2 2 2 2 5 3 3" xfId="23614" xr:uid="{2FCEE789-B961-4E0A-B0CA-C07533E04AFB}"/>
    <cellStyle name="Comma 4 2 2 2 2 5 4" xfId="10950" xr:uid="{EE4019E2-05F2-4364-9F99-4599B6B1AFD4}"/>
    <cellStyle name="Comma 4 2 2 2 2 5 5" xfId="19397" xr:uid="{940D9A3F-EC05-4776-ABBF-527A4960E8F4}"/>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637C3780-C246-43E7-8444-ACE823081CB2}"/>
    <cellStyle name="Comma 4 2 2 2 2 6 2 2 3" xfId="26172" xr:uid="{C1C0EFA9-2BE4-4E4E-A95C-E1F1C630A0C4}"/>
    <cellStyle name="Comma 4 2 2 2 2 6 2 3" xfId="13508" xr:uid="{659AC3FF-D9F6-45DE-A859-CCECF462C890}"/>
    <cellStyle name="Comma 4 2 2 2 2 6 2 4" xfId="21955" xr:uid="{7FDADAD8-7E28-42E7-9F1E-0C278584E9E0}"/>
    <cellStyle name="Comma 4 2 2 2 2 6 3" xfId="6254" xr:uid="{00000000-0005-0000-0000-0000CC070000}"/>
    <cellStyle name="Comma 4 2 2 2 2 6 3 2" xfId="15580" xr:uid="{224D14CB-B397-43EB-93C0-478693B16E3B}"/>
    <cellStyle name="Comma 4 2 2 2 2 6 3 3" xfId="24027" xr:uid="{079825E7-3F56-4967-B454-DC39DA79277D}"/>
    <cellStyle name="Comma 4 2 2 2 2 6 4" xfId="11363" xr:uid="{19FB19D8-D3FB-4455-B7D2-4FC797200E08}"/>
    <cellStyle name="Comma 4 2 2 2 2 6 5" xfId="19810" xr:uid="{E71B47B2-0745-4A49-AF13-42A96081E847}"/>
    <cellStyle name="Comma 4 2 2 2 2 7" xfId="2383" xr:uid="{00000000-0005-0000-0000-0000CD070000}"/>
    <cellStyle name="Comma 4 2 2 2 2 7 2" xfId="6667" xr:uid="{00000000-0005-0000-0000-0000CE070000}"/>
    <cellStyle name="Comma 4 2 2 2 2 7 2 2" xfId="15993" xr:uid="{6C4A19B1-C971-46BA-AECE-EFC1513366E2}"/>
    <cellStyle name="Comma 4 2 2 2 2 7 2 3" xfId="24440" xr:uid="{67FCB9E8-BAF0-40CA-AB33-11884CB49A01}"/>
    <cellStyle name="Comma 4 2 2 2 2 7 3" xfId="11776" xr:uid="{E7445390-DE40-4D63-B9BB-F42F3DA8DE1C}"/>
    <cellStyle name="Comma 4 2 2 2 2 7 4" xfId="20223" xr:uid="{7B81CA44-9E5D-435F-94B5-84CF7EB380ED}"/>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201E17FE-CEC6-44B8-8025-2DB32D10FC7C}"/>
    <cellStyle name="Comma 4 2 2 2 2 9 2 3" xfId="24757" xr:uid="{D990E9EB-9303-4998-B958-14627541A80A}"/>
    <cellStyle name="Comma 4 2 2 2 2 9 3" xfId="12093" xr:uid="{9B4AAD97-15F1-4B22-B5FC-00A468269475}"/>
    <cellStyle name="Comma 4 2 2 2 2 9 4" xfId="20540" xr:uid="{E8E26037-A97E-43F5-87EB-647319AA0B00}"/>
    <cellStyle name="Comma 4 2 2 2 3" xfId="131" xr:uid="{00000000-0005-0000-0000-0000D2070000}"/>
    <cellStyle name="Comma 4 2 2 2 3 10" xfId="9013" xr:uid="{D7491CA1-A7A0-4099-A659-9FB418CDDACA}"/>
    <cellStyle name="Comma 4 2 2 2 3 11" xfId="9712" xr:uid="{3CBA828A-220A-4D2B-87CE-1743B75D9C8F}"/>
    <cellStyle name="Comma 4 2 2 2 3 12" xfId="18159" xr:uid="{AF13665E-AAB3-48B6-A32E-E75808097855}"/>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2BFC6A43-93DD-4FE1-BC1B-D38EB970C05B}"/>
    <cellStyle name="Comma 4 2 2 2 3 2 2 2 3" xfId="24935" xr:uid="{E4ED2809-D31C-423A-944C-E35D5D9CE200}"/>
    <cellStyle name="Comma 4 2 2 2 3 2 2 3" xfId="12271" xr:uid="{B7D9A371-D1F7-45DD-BD90-D0B6D706D8AC}"/>
    <cellStyle name="Comma 4 2 2 2 3 2 2 4" xfId="20718" xr:uid="{4CFAEC56-36BE-42D8-867C-3542BB3EBBA6}"/>
    <cellStyle name="Comma 4 2 2 2 3 2 3" xfId="5017" xr:uid="{00000000-0005-0000-0000-0000D6070000}"/>
    <cellStyle name="Comma 4 2 2 2 3 2 3 2" xfId="14343" xr:uid="{3B0830AE-CBF5-41EA-833E-457F6594E233}"/>
    <cellStyle name="Comma 4 2 2 2 3 2 3 3" xfId="22790" xr:uid="{F477080C-9963-4F1A-B3C0-D5E0740A0E87}"/>
    <cellStyle name="Comma 4 2 2 2 3 2 4" xfId="9438" xr:uid="{8E9C4341-814A-43D1-8D35-8CCC512A2E32}"/>
    <cellStyle name="Comma 4 2 2 2 3 2 5" xfId="10126" xr:uid="{63089FDF-AE6E-4B32-9EA1-39530B7785C2}"/>
    <cellStyle name="Comma 4 2 2 2 3 2 6" xfId="18573" xr:uid="{9F199145-0F62-4956-9F40-7426FADD9644}"/>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2CE965C4-068A-47D6-8D93-23B0FBCBFAB3}"/>
    <cellStyle name="Comma 4 2 2 2 3 3 2 2 3" xfId="25348" xr:uid="{93B35DDE-F6A0-472D-9016-5E81E0EFEBF4}"/>
    <cellStyle name="Comma 4 2 2 2 3 3 2 3" xfId="12684" xr:uid="{C0F1417C-CB8C-4CC8-8695-39586F16A76D}"/>
    <cellStyle name="Comma 4 2 2 2 3 3 2 4" xfId="21131" xr:uid="{D8F57776-2AE7-4A33-82F6-5F546263DB64}"/>
    <cellStyle name="Comma 4 2 2 2 3 3 3" xfId="5430" xr:uid="{00000000-0005-0000-0000-0000DA070000}"/>
    <cellStyle name="Comma 4 2 2 2 3 3 3 2" xfId="14756" xr:uid="{58C4B589-101A-4BEC-9ADF-D786BDF38A19}"/>
    <cellStyle name="Comma 4 2 2 2 3 3 3 3" xfId="23203" xr:uid="{8D050DA5-97CC-4485-B558-8B096D9F9422}"/>
    <cellStyle name="Comma 4 2 2 2 3 3 4" xfId="10539" xr:uid="{A63D7CB9-EE6E-466F-B4B9-6A329045B5BB}"/>
    <cellStyle name="Comma 4 2 2 2 3 3 5" xfId="18986" xr:uid="{3D31F503-70DA-44C9-8501-0A3C9566C196}"/>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14A66EEC-A78E-471A-825F-E65093680C95}"/>
    <cellStyle name="Comma 4 2 2 2 3 4 2 2 3" xfId="25761" xr:uid="{FC5DFE38-ACBF-460E-A2A8-1CFCFE5FE0DC}"/>
    <cellStyle name="Comma 4 2 2 2 3 4 2 3" xfId="13097" xr:uid="{53903D9A-1593-4D64-AAFF-DAA592661FFB}"/>
    <cellStyle name="Comma 4 2 2 2 3 4 2 4" xfId="21544" xr:uid="{B616F2A6-C622-4BC3-8120-ACE81CF24FC7}"/>
    <cellStyle name="Comma 4 2 2 2 3 4 3" xfId="5843" xr:uid="{00000000-0005-0000-0000-0000DE070000}"/>
    <cellStyle name="Comma 4 2 2 2 3 4 3 2" xfId="15169" xr:uid="{869E030A-FC66-49E4-BF6B-3D1BAA59FB89}"/>
    <cellStyle name="Comma 4 2 2 2 3 4 3 3" xfId="23616" xr:uid="{CCE097E4-1A65-49D9-8899-D57BB4E1F837}"/>
    <cellStyle name="Comma 4 2 2 2 3 4 4" xfId="10952" xr:uid="{F0BC6098-9FD0-4A5F-89AA-BED4B7694051}"/>
    <cellStyle name="Comma 4 2 2 2 3 4 5" xfId="19399" xr:uid="{E1D9A023-D142-4462-B346-8469BDFE4943}"/>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311A8116-B1B2-4FAA-9F6C-2CFF70B7BBC9}"/>
    <cellStyle name="Comma 4 2 2 2 3 5 2 2 3" xfId="26174" xr:uid="{3CDBBE82-6B63-48D7-98DC-F555C82CB38C}"/>
    <cellStyle name="Comma 4 2 2 2 3 5 2 3" xfId="13510" xr:uid="{4CB142D3-7FE3-4534-8C94-5648E2D54BF0}"/>
    <cellStyle name="Comma 4 2 2 2 3 5 2 4" xfId="21957" xr:uid="{3EE96384-A130-491B-A31F-CFAE1798EC34}"/>
    <cellStyle name="Comma 4 2 2 2 3 5 3" xfId="6256" xr:uid="{00000000-0005-0000-0000-0000E2070000}"/>
    <cellStyle name="Comma 4 2 2 2 3 5 3 2" xfId="15582" xr:uid="{C9FAB1AD-0302-4733-B0DA-33D51D5B831B}"/>
    <cellStyle name="Comma 4 2 2 2 3 5 3 3" xfId="24029" xr:uid="{C0B99836-1ADC-4A4E-8089-934DA1BDBA59}"/>
    <cellStyle name="Comma 4 2 2 2 3 5 4" xfId="11365" xr:uid="{27F160FD-91EC-485F-A4DB-1E9A853FD664}"/>
    <cellStyle name="Comma 4 2 2 2 3 5 5" xfId="19812" xr:uid="{5F70211D-854D-4599-898B-ABC84DD5EC4E}"/>
    <cellStyle name="Comma 4 2 2 2 3 6" xfId="2385" xr:uid="{00000000-0005-0000-0000-0000E3070000}"/>
    <cellStyle name="Comma 4 2 2 2 3 6 2" xfId="6669" xr:uid="{00000000-0005-0000-0000-0000E4070000}"/>
    <cellStyle name="Comma 4 2 2 2 3 6 2 2" xfId="15995" xr:uid="{8457E392-B8D4-4A69-BB45-7FBF4DE272CD}"/>
    <cellStyle name="Comma 4 2 2 2 3 6 2 3" xfId="24442" xr:uid="{F0FD1A87-7E49-45A3-BA75-CB41CAE17231}"/>
    <cellStyle name="Comma 4 2 2 2 3 6 3" xfId="11778" xr:uid="{C68910FF-ECE5-4450-A8DC-40BB0815CA7C}"/>
    <cellStyle name="Comma 4 2 2 2 3 6 4" xfId="20225" xr:uid="{1590D7D9-1310-4E0A-8E3B-AF670B0F8D24}"/>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7E2213AE-5A87-4D00-A5FB-06EB7CA3DB50}"/>
    <cellStyle name="Comma 4 2 2 2 3 8 2 3" xfId="24759" xr:uid="{566D6B0A-91B2-4CF8-B26C-7E7CE5427ED0}"/>
    <cellStyle name="Comma 4 2 2 2 3 8 3" xfId="12095" xr:uid="{3BAAAF99-C5F2-4667-ADD4-D55103FF88D3}"/>
    <cellStyle name="Comma 4 2 2 2 3 8 4" xfId="20542" xr:uid="{D82779AD-9D5C-4D6E-8233-D0AADB14493F}"/>
    <cellStyle name="Comma 4 2 2 2 3 9" xfId="4603" xr:uid="{00000000-0005-0000-0000-0000E8070000}"/>
    <cellStyle name="Comma 4 2 2 2 3 9 2" xfId="13929" xr:uid="{F6E685CC-CF44-475B-A82A-A12F5CF25C3F}"/>
    <cellStyle name="Comma 4 2 2 2 3 9 3" xfId="22376" xr:uid="{CAEC13C5-B9FC-45C3-BD0B-19B45C424642}"/>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C24FCB50-E9BD-4321-8F29-65A6D3C79F27}"/>
    <cellStyle name="Comma 4 2 2 2 4 2 2 3" xfId="24932" xr:uid="{C07211A4-C72B-4FA5-BF54-8CAF85270552}"/>
    <cellStyle name="Comma 4 2 2 2 4 2 3" xfId="12268" xr:uid="{D5D62622-66CA-4796-9DF4-97121583EBB8}"/>
    <cellStyle name="Comma 4 2 2 2 4 2 4" xfId="20715" xr:uid="{34DEDEBC-ED3F-4645-BF90-E896664C190F}"/>
    <cellStyle name="Comma 4 2 2 2 4 3" xfId="5014" xr:uid="{00000000-0005-0000-0000-0000EC070000}"/>
    <cellStyle name="Comma 4 2 2 2 4 3 2" xfId="14340" xr:uid="{D10B545D-2486-44D7-AFB5-AEB9B5865D3A}"/>
    <cellStyle name="Comma 4 2 2 2 4 3 3" xfId="22787" xr:uid="{273105DE-A746-4A49-A72A-C2A3E5631AA1}"/>
    <cellStyle name="Comma 4 2 2 2 4 4" xfId="9231" xr:uid="{31DAC97A-9492-467B-9850-183797A56FBE}"/>
    <cellStyle name="Comma 4 2 2 2 4 5" xfId="10123" xr:uid="{E741B4F1-9D3D-4D82-A8C2-C81B8D02A4B0}"/>
    <cellStyle name="Comma 4 2 2 2 4 6" xfId="18570" xr:uid="{9D8DCA11-68BE-432C-8895-B46E1AD5B6CD}"/>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58437AD0-1054-41BD-956A-55118DDF2EBF}"/>
    <cellStyle name="Comma 4 2 2 2 5 2 2 3" xfId="25345" xr:uid="{955E59F9-42B9-4350-BED6-8D0E87B86F65}"/>
    <cellStyle name="Comma 4 2 2 2 5 2 3" xfId="12681" xr:uid="{4864C2D1-C035-46D0-AE53-06D078BDC9CC}"/>
    <cellStyle name="Comma 4 2 2 2 5 2 4" xfId="21128" xr:uid="{2EF4A1C3-85D0-4617-8F02-7B2EDBA86246}"/>
    <cellStyle name="Comma 4 2 2 2 5 3" xfId="5427" xr:uid="{00000000-0005-0000-0000-0000F0070000}"/>
    <cellStyle name="Comma 4 2 2 2 5 3 2" xfId="14753" xr:uid="{6CFE6D84-B44E-4390-BE42-0763C01F491A}"/>
    <cellStyle name="Comma 4 2 2 2 5 3 3" xfId="23200" xr:uid="{3D48B60B-54EB-4CB0-8B4A-3603DB99279C}"/>
    <cellStyle name="Comma 4 2 2 2 5 4" xfId="10536" xr:uid="{6A9CF881-3679-4FCC-AD15-908EA5DE7E93}"/>
    <cellStyle name="Comma 4 2 2 2 5 5" xfId="18983" xr:uid="{63D0386A-744E-4C00-9E2B-39AA3EC32A9A}"/>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83C4A531-CD8E-421E-B997-68E2746B31B3}"/>
    <cellStyle name="Comma 4 2 2 2 6 2 2 3" xfId="25758" xr:uid="{89DD8B3E-D609-45CE-AE9B-BE6D9E817CE1}"/>
    <cellStyle name="Comma 4 2 2 2 6 2 3" xfId="13094" xr:uid="{EB7C6376-17B0-4D24-BACC-58B0DEE7D687}"/>
    <cellStyle name="Comma 4 2 2 2 6 2 4" xfId="21541" xr:uid="{037271DD-21D6-4801-8D57-CCDBC0C88D94}"/>
    <cellStyle name="Comma 4 2 2 2 6 3" xfId="5840" xr:uid="{00000000-0005-0000-0000-0000F4070000}"/>
    <cellStyle name="Comma 4 2 2 2 6 3 2" xfId="15166" xr:uid="{6808C39E-FC6F-4AA2-B889-CFF9986686BD}"/>
    <cellStyle name="Comma 4 2 2 2 6 3 3" xfId="23613" xr:uid="{0ABEE76D-C9E8-439E-95E9-65560496E77C}"/>
    <cellStyle name="Comma 4 2 2 2 6 4" xfId="10949" xr:uid="{FF8D1F65-B560-41E5-943E-651C8AF5F450}"/>
    <cellStyle name="Comma 4 2 2 2 6 5" xfId="19396" xr:uid="{FCA69E94-B7EE-4B5E-AEC1-CDB6E73B862E}"/>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4DE96E4F-3EB9-40F7-98E1-E1461003E748}"/>
    <cellStyle name="Comma 4 2 2 2 7 2 2 3" xfId="26171" xr:uid="{40E89632-FF82-415A-8908-F681E22CEC09}"/>
    <cellStyle name="Comma 4 2 2 2 7 2 3" xfId="13507" xr:uid="{44951F8D-24DA-4174-B835-73ABBE49ACB9}"/>
    <cellStyle name="Comma 4 2 2 2 7 2 4" xfId="21954" xr:uid="{CE9B98E8-9050-44A1-A061-65515AEBC1FF}"/>
    <cellStyle name="Comma 4 2 2 2 7 3" xfId="6253" xr:uid="{00000000-0005-0000-0000-0000F8070000}"/>
    <cellStyle name="Comma 4 2 2 2 7 3 2" xfId="15579" xr:uid="{F62EC4EF-83B5-478D-B017-30CD6A2B2E2F}"/>
    <cellStyle name="Comma 4 2 2 2 7 3 3" xfId="24026" xr:uid="{AA9FBA79-E1C3-48BD-AE9F-C7D9FE600EDB}"/>
    <cellStyle name="Comma 4 2 2 2 7 4" xfId="11362" xr:uid="{796A543D-5204-4D54-B415-586E2BA6E1C7}"/>
    <cellStyle name="Comma 4 2 2 2 7 5" xfId="19809" xr:uid="{FB01E630-815B-44D7-AA24-D5CBB99C57E2}"/>
    <cellStyle name="Comma 4 2 2 2 8" xfId="2382" xr:uid="{00000000-0005-0000-0000-0000F9070000}"/>
    <cellStyle name="Comma 4 2 2 2 8 2" xfId="6666" xr:uid="{00000000-0005-0000-0000-0000FA070000}"/>
    <cellStyle name="Comma 4 2 2 2 8 2 2" xfId="15992" xr:uid="{16AF8E0E-8482-4294-98CC-51BF6715774A}"/>
    <cellStyle name="Comma 4 2 2 2 8 2 3" xfId="24439" xr:uid="{DDBFAA23-F5E8-467A-9E18-26F7E8FF5ABD}"/>
    <cellStyle name="Comma 4 2 2 2 8 3" xfId="11775" xr:uid="{9E8660AD-3B9D-4B5F-B3EE-366B5221C098}"/>
    <cellStyle name="Comma 4 2 2 2 8 4" xfId="20222" xr:uid="{2F260CAE-A266-4788-8176-F392F8A549B7}"/>
    <cellStyle name="Comma 4 2 2 2 9" xfId="2381" xr:uid="{00000000-0005-0000-0000-0000FB070000}"/>
    <cellStyle name="Comma 4 2 2 3" xfId="132" xr:uid="{00000000-0005-0000-0000-0000FC070000}"/>
    <cellStyle name="Comma 4 2 2 3 10" xfId="4604" xr:uid="{00000000-0005-0000-0000-0000FD070000}"/>
    <cellStyle name="Comma 4 2 2 3 10 2" xfId="13930" xr:uid="{69DC85C9-A8BA-4BA9-86D1-FDC54AE3BB1A}"/>
    <cellStyle name="Comma 4 2 2 3 10 3" xfId="22377" xr:uid="{BFCE25D9-ADC3-48E6-9B61-060F059294D8}"/>
    <cellStyle name="Comma 4 2 2 3 11" xfId="8889" xr:uid="{93813409-C042-4436-8561-B0237A135E7D}"/>
    <cellStyle name="Comma 4 2 2 3 12" xfId="9713" xr:uid="{6F378F33-F64C-4F13-99A5-3E082ED9AA13}"/>
    <cellStyle name="Comma 4 2 2 3 13" xfId="18160" xr:uid="{E30ACF1B-AEBF-4104-B46F-4C09237FD5E4}"/>
    <cellStyle name="Comma 4 2 2 3 2" xfId="133" xr:uid="{00000000-0005-0000-0000-0000FE070000}"/>
    <cellStyle name="Comma 4 2 2 3 2 10" xfId="9096" xr:uid="{C395B6CC-7E3E-452B-B5AB-BBF992A45CEB}"/>
    <cellStyle name="Comma 4 2 2 3 2 11" xfId="9714" xr:uid="{E8A97AD3-6E52-42C5-AD3B-E544F72900C9}"/>
    <cellStyle name="Comma 4 2 2 3 2 12" xfId="18161" xr:uid="{18F31628-FCC9-491A-B506-34F53DA169D1}"/>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F994F406-055A-4F74-8E90-D57E701248A1}"/>
    <cellStyle name="Comma 4 2 2 3 2 2 2 2 3" xfId="24937" xr:uid="{E3C36829-A983-46A5-9003-C96DFA602838}"/>
    <cellStyle name="Comma 4 2 2 3 2 2 2 3" xfId="12273" xr:uid="{70ED1F88-95BD-45D3-A034-9A1007969B8D}"/>
    <cellStyle name="Comma 4 2 2 3 2 2 2 4" xfId="20720" xr:uid="{931A9A7D-E9C9-4AF0-AEC0-0F97D3932AC3}"/>
    <cellStyle name="Comma 4 2 2 3 2 2 3" xfId="5019" xr:uid="{00000000-0005-0000-0000-000002080000}"/>
    <cellStyle name="Comma 4 2 2 3 2 2 3 2" xfId="14345" xr:uid="{082A5F33-B946-4245-845E-5DC4F1FD4CAF}"/>
    <cellStyle name="Comma 4 2 2 3 2 2 3 3" xfId="22792" xr:uid="{AC896019-DDB3-4391-92DB-FDCCD8959EDA}"/>
    <cellStyle name="Comma 4 2 2 3 2 2 4" xfId="9521" xr:uid="{8F14F654-C711-4E70-8A06-71F68E70E2E0}"/>
    <cellStyle name="Comma 4 2 2 3 2 2 5" xfId="10128" xr:uid="{B089717F-6A34-4B76-9381-8A7C307326EF}"/>
    <cellStyle name="Comma 4 2 2 3 2 2 6" xfId="18575" xr:uid="{585A627F-CB77-4F60-88DD-2879841A8E22}"/>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B1E52BBD-86FE-4AA0-A8BD-1C89D2714EFC}"/>
    <cellStyle name="Comma 4 2 2 3 2 3 2 2 3" xfId="25350" xr:uid="{402BC575-DC4B-4AE2-AD58-FA9785C681CD}"/>
    <cellStyle name="Comma 4 2 2 3 2 3 2 3" xfId="12686" xr:uid="{D9A16F9A-69CD-4054-82CF-BDD83925DF50}"/>
    <cellStyle name="Comma 4 2 2 3 2 3 2 4" xfId="21133" xr:uid="{17D4383B-4F48-4510-B9A1-EBFC8F5BBFA9}"/>
    <cellStyle name="Comma 4 2 2 3 2 3 3" xfId="5432" xr:uid="{00000000-0005-0000-0000-000006080000}"/>
    <cellStyle name="Comma 4 2 2 3 2 3 3 2" xfId="14758" xr:uid="{9BC134A0-36D1-403B-8618-43B392FAE03E}"/>
    <cellStyle name="Comma 4 2 2 3 2 3 3 3" xfId="23205" xr:uid="{3AF11714-A261-4691-8A60-2539EEEB6812}"/>
    <cellStyle name="Comma 4 2 2 3 2 3 4" xfId="10541" xr:uid="{5BE6657C-5440-47FE-8A6F-D71B43D51C12}"/>
    <cellStyle name="Comma 4 2 2 3 2 3 5" xfId="18988" xr:uid="{7897393E-9B01-444A-88AE-3D3BF2DEB215}"/>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9E22864E-9BC8-42F0-B34B-CF48820D4598}"/>
    <cellStyle name="Comma 4 2 2 3 2 4 2 2 3" xfId="25763" xr:uid="{EA2EC508-BA00-4833-A6F0-132BEDCF5945}"/>
    <cellStyle name="Comma 4 2 2 3 2 4 2 3" xfId="13099" xr:uid="{C7B61F58-7F6F-41EE-9D63-7B88FC6300F9}"/>
    <cellStyle name="Comma 4 2 2 3 2 4 2 4" xfId="21546" xr:uid="{101CA8DE-4690-468B-BE2E-AFA9CF6DCE1F}"/>
    <cellStyle name="Comma 4 2 2 3 2 4 3" xfId="5845" xr:uid="{00000000-0005-0000-0000-00000A080000}"/>
    <cellStyle name="Comma 4 2 2 3 2 4 3 2" xfId="15171" xr:uid="{278D888B-1F46-483A-AC2E-15B680DF791B}"/>
    <cellStyle name="Comma 4 2 2 3 2 4 3 3" xfId="23618" xr:uid="{F611375A-8A83-45FA-8E1A-EB37E7D48010}"/>
    <cellStyle name="Comma 4 2 2 3 2 4 4" xfId="10954" xr:uid="{3BF5DE87-60FD-4406-AA18-E157949A65D8}"/>
    <cellStyle name="Comma 4 2 2 3 2 4 5" xfId="19401" xr:uid="{F185F81B-BB48-4C19-B9AF-BA7A51F737A4}"/>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BA26B921-A197-4530-9DBE-04B757A9410D}"/>
    <cellStyle name="Comma 4 2 2 3 2 5 2 2 3" xfId="26176" xr:uid="{DAD4E32B-ECF0-4A39-9B54-F53D2FD1E93A}"/>
    <cellStyle name="Comma 4 2 2 3 2 5 2 3" xfId="13512" xr:uid="{6382F54A-255F-40F7-9FCF-002B936D2BB6}"/>
    <cellStyle name="Comma 4 2 2 3 2 5 2 4" xfId="21959" xr:uid="{F7E4A00E-9D2B-4A95-9788-DBF1BD132A18}"/>
    <cellStyle name="Comma 4 2 2 3 2 5 3" xfId="6258" xr:uid="{00000000-0005-0000-0000-00000E080000}"/>
    <cellStyle name="Comma 4 2 2 3 2 5 3 2" xfId="15584" xr:uid="{4EA5A641-80B4-4D46-9215-7A7F49867BFD}"/>
    <cellStyle name="Comma 4 2 2 3 2 5 3 3" xfId="24031" xr:uid="{4B225E5E-2F34-43BB-B1AB-F3C06CA3FBCE}"/>
    <cellStyle name="Comma 4 2 2 3 2 5 4" xfId="11367" xr:uid="{0ABEDCDD-F24F-4C8C-BDB4-82B318899BCC}"/>
    <cellStyle name="Comma 4 2 2 3 2 5 5" xfId="19814" xr:uid="{80A8E245-6E97-49F6-B4B9-48CCB1C01BC7}"/>
    <cellStyle name="Comma 4 2 2 3 2 6" xfId="2387" xr:uid="{00000000-0005-0000-0000-00000F080000}"/>
    <cellStyle name="Comma 4 2 2 3 2 6 2" xfId="6671" xr:uid="{00000000-0005-0000-0000-000010080000}"/>
    <cellStyle name="Comma 4 2 2 3 2 6 2 2" xfId="15997" xr:uid="{AB65866D-B2BB-4F10-8A3B-6D0775E77D00}"/>
    <cellStyle name="Comma 4 2 2 3 2 6 2 3" xfId="24444" xr:uid="{1929733D-EF0E-4076-8598-360C4DF2C23D}"/>
    <cellStyle name="Comma 4 2 2 3 2 6 3" xfId="11780" xr:uid="{2A5EDF63-861B-4431-8F81-283512CDFB8C}"/>
    <cellStyle name="Comma 4 2 2 3 2 6 4" xfId="20227" xr:uid="{863740F4-AFBC-4C9A-A3EB-88A6B6E9EBDB}"/>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145080EE-902F-455F-B298-C04FEEDB4599}"/>
    <cellStyle name="Comma 4 2 2 3 2 8 2 3" xfId="24761" xr:uid="{7DF97119-0461-4631-8BF5-54790A30E032}"/>
    <cellStyle name="Comma 4 2 2 3 2 8 3" xfId="12097" xr:uid="{4F431A6A-B566-4357-A7E0-1A3ADE307DFA}"/>
    <cellStyle name="Comma 4 2 2 3 2 8 4" xfId="20544" xr:uid="{0DB4C920-A46D-4CCF-AE52-25B2FE524A56}"/>
    <cellStyle name="Comma 4 2 2 3 2 9" xfId="4605" xr:uid="{00000000-0005-0000-0000-000014080000}"/>
    <cellStyle name="Comma 4 2 2 3 2 9 2" xfId="13931" xr:uid="{BB1A0514-2EDB-48DE-B17E-18A41ED64634}"/>
    <cellStyle name="Comma 4 2 2 3 2 9 3" xfId="22378" xr:uid="{32F0F435-FB69-401F-95F6-CC721E72CD4E}"/>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17C5A271-527C-403B-A19C-73B102BE9A74}"/>
    <cellStyle name="Comma 4 2 2 3 3 2 2 3" xfId="24936" xr:uid="{99EC679C-E4BF-4A84-B1D1-DFB3D1D64EA1}"/>
    <cellStyle name="Comma 4 2 2 3 3 2 3" xfId="12272" xr:uid="{729B0D0C-4D48-4703-84C0-F5CE176ADEEA}"/>
    <cellStyle name="Comma 4 2 2 3 3 2 4" xfId="20719" xr:uid="{A5CD38D3-7C26-458D-8930-908614363D1C}"/>
    <cellStyle name="Comma 4 2 2 3 3 3" xfId="5018" xr:uid="{00000000-0005-0000-0000-000018080000}"/>
    <cellStyle name="Comma 4 2 2 3 3 3 2" xfId="14344" xr:uid="{5C552C06-4349-4A30-86E4-26B7A5E6EAC1}"/>
    <cellStyle name="Comma 4 2 2 3 3 3 3" xfId="22791" xr:uid="{4A128B10-BACF-4D3D-BBF0-2DD09EAC54EB}"/>
    <cellStyle name="Comma 4 2 2 3 3 4" xfId="9314" xr:uid="{A74197AE-1229-40FC-8212-8FB289D74FF6}"/>
    <cellStyle name="Comma 4 2 2 3 3 5" xfId="10127" xr:uid="{7DBF6EE8-AB4D-4F52-8067-C91DB0AC79BD}"/>
    <cellStyle name="Comma 4 2 2 3 3 6" xfId="18574" xr:uid="{D36C3108-F880-4F69-B901-713B1BA2037F}"/>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FE5351D9-238B-4B42-BA07-A2D2AC8DEEF6}"/>
    <cellStyle name="Comma 4 2 2 3 4 2 2 3" xfId="25349" xr:uid="{DC9F3E63-DF04-4357-B1AB-25519996AC51}"/>
    <cellStyle name="Comma 4 2 2 3 4 2 3" xfId="12685" xr:uid="{E099B3E0-7BB4-42DB-9D1E-10731897E286}"/>
    <cellStyle name="Comma 4 2 2 3 4 2 4" xfId="21132" xr:uid="{CD7DC8A4-541F-4191-B5AC-3A30F82C7CBC}"/>
    <cellStyle name="Comma 4 2 2 3 4 3" xfId="5431" xr:uid="{00000000-0005-0000-0000-00001C080000}"/>
    <cellStyle name="Comma 4 2 2 3 4 3 2" xfId="14757" xr:uid="{E92041A4-903F-4BF5-A0A7-25B6E9C48130}"/>
    <cellStyle name="Comma 4 2 2 3 4 3 3" xfId="23204" xr:uid="{402BC7A7-A7DD-4E45-9B86-B555F2961BE6}"/>
    <cellStyle name="Comma 4 2 2 3 4 4" xfId="10540" xr:uid="{D3E9B084-848D-49A3-A129-5EE810614C4D}"/>
    <cellStyle name="Comma 4 2 2 3 4 5" xfId="18987" xr:uid="{CD0453AF-A3B4-4A3D-B608-DF45729EEF65}"/>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2FECAA17-994C-42DA-BE45-DFE12D108237}"/>
    <cellStyle name="Comma 4 2 2 3 5 2 2 3" xfId="25762" xr:uid="{6056EAC3-7CA7-4C3D-9A41-FBF4B951A02F}"/>
    <cellStyle name="Comma 4 2 2 3 5 2 3" xfId="13098" xr:uid="{F12F4F82-BE53-45E9-B4FC-A8B3B73DFB25}"/>
    <cellStyle name="Comma 4 2 2 3 5 2 4" xfId="21545" xr:uid="{DD4A2662-2C77-4E21-9422-CE5098E34EAC}"/>
    <cellStyle name="Comma 4 2 2 3 5 3" xfId="5844" xr:uid="{00000000-0005-0000-0000-000020080000}"/>
    <cellStyle name="Comma 4 2 2 3 5 3 2" xfId="15170" xr:uid="{A90226B7-9ED5-4733-B347-5327B152D0D3}"/>
    <cellStyle name="Comma 4 2 2 3 5 3 3" xfId="23617" xr:uid="{C06AA62F-E509-4D55-BE34-377C42B6F541}"/>
    <cellStyle name="Comma 4 2 2 3 5 4" xfId="10953" xr:uid="{256F5F8D-4994-4395-9BBB-829722BECF35}"/>
    <cellStyle name="Comma 4 2 2 3 5 5" xfId="19400" xr:uid="{B7B0AAAA-4C52-4E58-ADFD-1AE8A2B53A95}"/>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BEA69E1E-8FB5-4EE7-9209-2B82DD427C8A}"/>
    <cellStyle name="Comma 4 2 2 3 6 2 2 3" xfId="26175" xr:uid="{D4A1432D-1560-4123-8A4C-11446DEB7794}"/>
    <cellStyle name="Comma 4 2 2 3 6 2 3" xfId="13511" xr:uid="{2A372DC8-6AD4-418E-AC18-1228B7BF2179}"/>
    <cellStyle name="Comma 4 2 2 3 6 2 4" xfId="21958" xr:uid="{E53453FB-83B8-4ED0-B927-B0D56A3AB2FA}"/>
    <cellStyle name="Comma 4 2 2 3 6 3" xfId="6257" xr:uid="{00000000-0005-0000-0000-000024080000}"/>
    <cellStyle name="Comma 4 2 2 3 6 3 2" xfId="15583" xr:uid="{D72BF29B-CD97-4F73-9FD3-BD905C9A8FEA}"/>
    <cellStyle name="Comma 4 2 2 3 6 3 3" xfId="24030" xr:uid="{A50B414B-A7E7-494B-BF66-0062D98D4C7D}"/>
    <cellStyle name="Comma 4 2 2 3 6 4" xfId="11366" xr:uid="{D7A20C55-66E2-4FA7-B8C1-B6D16C579BE2}"/>
    <cellStyle name="Comma 4 2 2 3 6 5" xfId="19813" xr:uid="{BB4CF559-0A8A-49E8-94D9-A259519EA7AF}"/>
    <cellStyle name="Comma 4 2 2 3 7" xfId="2386" xr:uid="{00000000-0005-0000-0000-000025080000}"/>
    <cellStyle name="Comma 4 2 2 3 7 2" xfId="6670" xr:uid="{00000000-0005-0000-0000-000026080000}"/>
    <cellStyle name="Comma 4 2 2 3 7 2 2" xfId="15996" xr:uid="{82E58704-0588-4684-B8FA-82CED43349E0}"/>
    <cellStyle name="Comma 4 2 2 3 7 2 3" xfId="24443" xr:uid="{663B8FE6-015B-4EE1-AC46-768F47B807BC}"/>
    <cellStyle name="Comma 4 2 2 3 7 3" xfId="11779" xr:uid="{FC58319A-F11B-4F62-B437-1249A0906B11}"/>
    <cellStyle name="Comma 4 2 2 3 7 4" xfId="20226" xr:uid="{4BDFA165-CE00-454F-8D37-93A63625AC0B}"/>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A1A4C72A-C151-4F59-9B5E-6AE71087518A}"/>
    <cellStyle name="Comma 4 2 2 3 9 2 3" xfId="24760" xr:uid="{85E43120-AD6B-46E9-BFF2-8C6D04A0EDB0}"/>
    <cellStyle name="Comma 4 2 2 3 9 3" xfId="12096" xr:uid="{13D6C6D8-291B-45A9-9906-A434B98C9271}"/>
    <cellStyle name="Comma 4 2 2 3 9 4" xfId="20543" xr:uid="{BB0265E0-62B4-4388-8E70-6B331112DC0A}"/>
    <cellStyle name="Comma 4 2 2 4" xfId="134" xr:uid="{00000000-0005-0000-0000-00002A080000}"/>
    <cellStyle name="Comma 4 2 2 4 10" xfId="8993" xr:uid="{2969CB69-37C4-4C43-BC9D-87F92556F829}"/>
    <cellStyle name="Comma 4 2 2 4 11" xfId="9715" xr:uid="{1B07B99C-FAF7-4F4B-83C6-A561B13E3198}"/>
    <cellStyle name="Comma 4 2 2 4 12" xfId="18162" xr:uid="{3DDD613B-3D07-49AC-B0BD-86E31730D1C1}"/>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44E2EBD6-FF58-4D9C-B28D-4BCA9E742B05}"/>
    <cellStyle name="Comma 4 2 2 4 2 2 2 3" xfId="24938" xr:uid="{AA663A25-1B60-4CB7-B206-77DA19940EA2}"/>
    <cellStyle name="Comma 4 2 2 4 2 2 3" xfId="12274" xr:uid="{81E6E5D4-5D2D-4D10-927F-D4757BF41821}"/>
    <cellStyle name="Comma 4 2 2 4 2 2 4" xfId="20721" xr:uid="{DFFDAF63-CA1A-42CD-8E86-2175DD14FFB5}"/>
    <cellStyle name="Comma 4 2 2 4 2 3" xfId="5020" xr:uid="{00000000-0005-0000-0000-00002E080000}"/>
    <cellStyle name="Comma 4 2 2 4 2 3 2" xfId="14346" xr:uid="{49BFE035-0FEC-4F3D-81ED-8BAD5B0250A4}"/>
    <cellStyle name="Comma 4 2 2 4 2 3 3" xfId="22793" xr:uid="{5C74BB9C-CF4E-4FD0-B5FE-2238CC48B37C}"/>
    <cellStyle name="Comma 4 2 2 4 2 4" xfId="9418" xr:uid="{F2EB07B7-2227-485D-9411-A8F75EC2F9DA}"/>
    <cellStyle name="Comma 4 2 2 4 2 5" xfId="10129" xr:uid="{EC3213ED-329A-4AC7-BDC2-E4630EBBF802}"/>
    <cellStyle name="Comma 4 2 2 4 2 6" xfId="18576" xr:uid="{B4BA8DF9-23AF-4FD5-B0E7-76E53C175C6A}"/>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0D37E2B9-518A-4AAC-B4C1-1871F6A51363}"/>
    <cellStyle name="Comma 4 2 2 4 3 2 2 3" xfId="25351" xr:uid="{9EE7CC4A-F343-42C9-AB58-231FB4055C36}"/>
    <cellStyle name="Comma 4 2 2 4 3 2 3" xfId="12687" xr:uid="{3CA19B30-22FF-4A84-BBA2-227FDEC92432}"/>
    <cellStyle name="Comma 4 2 2 4 3 2 4" xfId="21134" xr:uid="{AF8AA863-2E7F-4242-AF4B-80F0D397B3CE}"/>
    <cellStyle name="Comma 4 2 2 4 3 3" xfId="5433" xr:uid="{00000000-0005-0000-0000-000032080000}"/>
    <cellStyle name="Comma 4 2 2 4 3 3 2" xfId="14759" xr:uid="{C6A9CCCC-8077-488C-AB23-0DB5C8999EDA}"/>
    <cellStyle name="Comma 4 2 2 4 3 3 3" xfId="23206" xr:uid="{D6088B64-BCF1-45E2-B228-ED71A11D64C4}"/>
    <cellStyle name="Comma 4 2 2 4 3 4" xfId="10542" xr:uid="{542C7A45-C5DC-4FC9-8EF0-703F5B4BA47C}"/>
    <cellStyle name="Comma 4 2 2 4 3 5" xfId="18989" xr:uid="{28D36567-2779-46E3-A45B-A0E5E60A185B}"/>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34401825-C489-4EDD-82AB-F391A3DE245F}"/>
    <cellStyle name="Comma 4 2 2 4 4 2 2 3" xfId="25764" xr:uid="{49CEB7DA-8FA4-4BCC-9D88-023DE86E011F}"/>
    <cellStyle name="Comma 4 2 2 4 4 2 3" xfId="13100" xr:uid="{604F0683-D935-490E-9FBA-9CCD0621620F}"/>
    <cellStyle name="Comma 4 2 2 4 4 2 4" xfId="21547" xr:uid="{7EA5470D-FF47-4DAA-87A2-28A76C081F8C}"/>
    <cellStyle name="Comma 4 2 2 4 4 3" xfId="5846" xr:uid="{00000000-0005-0000-0000-000036080000}"/>
    <cellStyle name="Comma 4 2 2 4 4 3 2" xfId="15172" xr:uid="{212087D9-6BBC-4FB9-A4F9-36D67294A3D2}"/>
    <cellStyle name="Comma 4 2 2 4 4 3 3" xfId="23619" xr:uid="{2F61259B-9121-4E0D-86C1-BE58BC878AAE}"/>
    <cellStyle name="Comma 4 2 2 4 4 4" xfId="10955" xr:uid="{DE729E2E-D0A0-4D8F-9255-728BE432A2F4}"/>
    <cellStyle name="Comma 4 2 2 4 4 5" xfId="19402" xr:uid="{39A8E3F8-C1D4-4BBF-9F70-C8D98B11E751}"/>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58C4460C-15BC-432A-ABF4-2BDB511A1A67}"/>
    <cellStyle name="Comma 4 2 2 4 5 2 2 3" xfId="26177" xr:uid="{9EEECC98-7848-4F14-A5E8-0E75A49A7EDB}"/>
    <cellStyle name="Comma 4 2 2 4 5 2 3" xfId="13513" xr:uid="{BA16A1A9-8929-4B0C-B4C1-E4604466C4F0}"/>
    <cellStyle name="Comma 4 2 2 4 5 2 4" xfId="21960" xr:uid="{78D9CADF-666F-4939-B4AC-54171D3974FB}"/>
    <cellStyle name="Comma 4 2 2 4 5 3" xfId="6259" xr:uid="{00000000-0005-0000-0000-00003A080000}"/>
    <cellStyle name="Comma 4 2 2 4 5 3 2" xfId="15585" xr:uid="{1D1C229B-3F3D-421C-9B18-DBC21D6D256A}"/>
    <cellStyle name="Comma 4 2 2 4 5 3 3" xfId="24032" xr:uid="{FE940B88-215C-4959-B951-354A61F43B92}"/>
    <cellStyle name="Comma 4 2 2 4 5 4" xfId="11368" xr:uid="{2C8C5BEA-B43B-4B99-8C48-1FE12D68C70F}"/>
    <cellStyle name="Comma 4 2 2 4 5 5" xfId="19815" xr:uid="{9A30480B-B79F-48C5-B840-347933693A71}"/>
    <cellStyle name="Comma 4 2 2 4 6" xfId="2388" xr:uid="{00000000-0005-0000-0000-00003B080000}"/>
    <cellStyle name="Comma 4 2 2 4 6 2" xfId="6672" xr:uid="{00000000-0005-0000-0000-00003C080000}"/>
    <cellStyle name="Comma 4 2 2 4 6 2 2" xfId="15998" xr:uid="{CE2D88BE-6EDC-42FC-963A-F3733C0BDCF2}"/>
    <cellStyle name="Comma 4 2 2 4 6 2 3" xfId="24445" xr:uid="{8635FD8D-690D-420A-BCD9-5BC9E1DAA018}"/>
    <cellStyle name="Comma 4 2 2 4 6 3" xfId="11781" xr:uid="{559E1C87-F1FF-4FD3-9910-467F705C4A36}"/>
    <cellStyle name="Comma 4 2 2 4 6 4" xfId="20228" xr:uid="{03770D10-E284-4FDC-AF59-033BF512D79A}"/>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2177A739-DA36-4385-AEC1-40AC42DF4788}"/>
    <cellStyle name="Comma 4 2 2 4 8 2 3" xfId="24762" xr:uid="{B5A6825A-B305-4EE6-AA2F-17C9AE9F8816}"/>
    <cellStyle name="Comma 4 2 2 4 8 3" xfId="12098" xr:uid="{2BB2CF5A-8356-4DE0-BFF8-554204C8392A}"/>
    <cellStyle name="Comma 4 2 2 4 8 4" xfId="20545" xr:uid="{D9BC45FA-5045-46FA-A897-65A1D6AD18A5}"/>
    <cellStyle name="Comma 4 2 2 4 9" xfId="4606" xr:uid="{00000000-0005-0000-0000-000040080000}"/>
    <cellStyle name="Comma 4 2 2 4 9 2" xfId="13932" xr:uid="{E97390AD-46DA-4AA5-B298-35AB307CE87E}"/>
    <cellStyle name="Comma 4 2 2 4 9 3" xfId="22379" xr:uid="{61C0CFEE-BF2E-4C8F-90DD-A45966F4F456}"/>
    <cellStyle name="Comma 4 2 2 5" xfId="135" xr:uid="{00000000-0005-0000-0000-000041080000}"/>
    <cellStyle name="Comma 4 2 2 5 10" xfId="9210" xr:uid="{C1F9418B-EF96-4063-883D-A983E131C6A4}"/>
    <cellStyle name="Comma 4 2 2 5 11" xfId="9716" xr:uid="{8AB4008C-ADE9-4800-B639-145D1DF3527C}"/>
    <cellStyle name="Comma 4 2 2 5 12" xfId="18163" xr:uid="{D810B30B-4061-42A1-A179-FC96EBF87881}"/>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BC6797DE-98AF-4E17-BB18-38D58256ACD3}"/>
    <cellStyle name="Comma 4 2 2 5 2 2 2 3" xfId="24939" xr:uid="{6159562B-E095-478D-B079-B7F4A832CC16}"/>
    <cellStyle name="Comma 4 2 2 5 2 2 3" xfId="12275" xr:uid="{6333D914-DAFE-465C-AE9E-598F7CD15B99}"/>
    <cellStyle name="Comma 4 2 2 5 2 2 4" xfId="20722" xr:uid="{A86D8F45-08F3-412E-B0EF-52A1A1A29174}"/>
    <cellStyle name="Comma 4 2 2 5 2 3" xfId="5021" xr:uid="{00000000-0005-0000-0000-000045080000}"/>
    <cellStyle name="Comma 4 2 2 5 2 3 2" xfId="14347" xr:uid="{05D1BC3C-3DA8-4BAA-9755-E42A817AF24D}"/>
    <cellStyle name="Comma 4 2 2 5 2 3 3" xfId="22794" xr:uid="{BCE5DBBC-9B1A-44D7-9BB0-C3090B09BBED}"/>
    <cellStyle name="Comma 4 2 2 5 2 4" xfId="9593" xr:uid="{3B41C66E-2108-4CBE-9776-211459781E55}"/>
    <cellStyle name="Comma 4 2 2 5 2 5" xfId="10130" xr:uid="{45A00E5A-CC6B-4BBF-B0B9-4C84CE40A961}"/>
    <cellStyle name="Comma 4 2 2 5 2 6" xfId="18577" xr:uid="{C512E7AA-A366-4B22-A5D5-1CE95D0F64EF}"/>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032AD77E-C641-4FB6-A54B-29057897B768}"/>
    <cellStyle name="Comma 4 2 2 5 3 2 2 3" xfId="25352" xr:uid="{9E30FCC5-14FC-4E46-B59D-6C15EC900B48}"/>
    <cellStyle name="Comma 4 2 2 5 3 2 3" xfId="12688" xr:uid="{853BD22E-FE43-4536-8242-8D9C937B32DB}"/>
    <cellStyle name="Comma 4 2 2 5 3 2 4" xfId="21135" xr:uid="{3615612B-303B-48E2-9EE9-49024ABD1BE6}"/>
    <cellStyle name="Comma 4 2 2 5 3 3" xfId="5434" xr:uid="{00000000-0005-0000-0000-000049080000}"/>
    <cellStyle name="Comma 4 2 2 5 3 3 2" xfId="14760" xr:uid="{C10D60D7-2BB7-4845-88DC-4569A399ED27}"/>
    <cellStyle name="Comma 4 2 2 5 3 3 3" xfId="23207" xr:uid="{44C4814A-5CB4-4620-9DF2-C74A57A967D4}"/>
    <cellStyle name="Comma 4 2 2 5 3 4" xfId="10543" xr:uid="{E637616E-C071-44CB-8D57-1F71DAB05340}"/>
    <cellStyle name="Comma 4 2 2 5 3 5" xfId="18990" xr:uid="{171FDE3F-875C-4CB0-A6BC-FF0C2C0BCA33}"/>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B25B6AED-F11B-4B02-A4CC-D67C30E50155}"/>
    <cellStyle name="Comma 4 2 2 5 4 2 2 3" xfId="25765" xr:uid="{343BD69E-59A5-4715-A7FF-4493D1405F2A}"/>
    <cellStyle name="Comma 4 2 2 5 4 2 3" xfId="13101" xr:uid="{C75C8E95-0B41-481E-9304-BD2A68A32D1E}"/>
    <cellStyle name="Comma 4 2 2 5 4 2 4" xfId="21548" xr:uid="{6DC3BEA7-0CBA-48F8-BFD2-3AE7CDFA2727}"/>
    <cellStyle name="Comma 4 2 2 5 4 3" xfId="5847" xr:uid="{00000000-0005-0000-0000-00004D080000}"/>
    <cellStyle name="Comma 4 2 2 5 4 3 2" xfId="15173" xr:uid="{E78A1C7E-B336-4F9B-AB5C-2557F064F42B}"/>
    <cellStyle name="Comma 4 2 2 5 4 3 3" xfId="23620" xr:uid="{33BFB8C0-CB35-4FE8-B5FD-5C69D92F9314}"/>
    <cellStyle name="Comma 4 2 2 5 4 4" xfId="10956" xr:uid="{C08DDB69-2214-419E-9B20-052BA0DF563F}"/>
    <cellStyle name="Comma 4 2 2 5 4 5" xfId="19403" xr:uid="{DE16F5DF-E374-4BD7-B877-227795B4F92E}"/>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84FC8800-37D9-4342-9212-AAD76AF58E0D}"/>
    <cellStyle name="Comma 4 2 2 5 5 2 2 3" xfId="26178" xr:uid="{3C824808-CF3C-4231-8B99-939303C08B4C}"/>
    <cellStyle name="Comma 4 2 2 5 5 2 3" xfId="13514" xr:uid="{AA175393-2533-46CF-9729-D7B89707A12E}"/>
    <cellStyle name="Comma 4 2 2 5 5 2 4" xfId="21961" xr:uid="{4A7CEE89-EB98-4E06-8AE5-18C60E9B1409}"/>
    <cellStyle name="Comma 4 2 2 5 5 3" xfId="6260" xr:uid="{00000000-0005-0000-0000-000051080000}"/>
    <cellStyle name="Comma 4 2 2 5 5 3 2" xfId="15586" xr:uid="{CE6A4391-4C09-43B0-ADF5-700E4A711DB9}"/>
    <cellStyle name="Comma 4 2 2 5 5 3 3" xfId="24033" xr:uid="{D8278748-7368-4DF7-AE9D-9212A7EA3C7A}"/>
    <cellStyle name="Comma 4 2 2 5 5 4" xfId="11369" xr:uid="{A11166D4-19F2-4D8F-A91C-22E2098CE035}"/>
    <cellStyle name="Comma 4 2 2 5 5 5" xfId="19816" xr:uid="{7FC4D1B5-6989-448D-A59B-B29FB393C441}"/>
    <cellStyle name="Comma 4 2 2 5 6" xfId="2389" xr:uid="{00000000-0005-0000-0000-000052080000}"/>
    <cellStyle name="Comma 4 2 2 5 6 2" xfId="6673" xr:uid="{00000000-0005-0000-0000-000053080000}"/>
    <cellStyle name="Comma 4 2 2 5 6 2 2" xfId="15999" xr:uid="{7938967B-65FA-4A7A-AAF2-89E4705F29F9}"/>
    <cellStyle name="Comma 4 2 2 5 6 2 3" xfId="24446" xr:uid="{EBF1D4B7-9275-42DA-AD1A-F4F395F01A79}"/>
    <cellStyle name="Comma 4 2 2 5 6 3" xfId="11782" xr:uid="{9F791392-5A75-4571-80CA-E4FA2FB65DA6}"/>
    <cellStyle name="Comma 4 2 2 5 6 4" xfId="20229" xr:uid="{87FF1DA7-E148-486A-8E6A-8FF0230FC541}"/>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26D58AEE-3B5A-4483-BED7-934ECAF4D34E}"/>
    <cellStyle name="Comma 4 2 2 5 8 2 3" xfId="24763" xr:uid="{68E1BC09-6F45-442B-AAA9-98A2357BDC20}"/>
    <cellStyle name="Comma 4 2 2 5 8 3" xfId="12099" xr:uid="{8D753A5A-1AE8-4E73-8435-2B5161E223B4}"/>
    <cellStyle name="Comma 4 2 2 5 8 4" xfId="20546" xr:uid="{67ADB5A4-F54A-4AD0-A2EA-48AAB10550D7}"/>
    <cellStyle name="Comma 4 2 2 5 9" xfId="4607" xr:uid="{00000000-0005-0000-0000-000057080000}"/>
    <cellStyle name="Comma 4 2 2 5 9 2" xfId="13933" xr:uid="{0881B9E8-2908-462C-BF3D-FBA9A7188B4B}"/>
    <cellStyle name="Comma 4 2 2 5 9 3" xfId="22380" xr:uid="{CE793013-50EB-4E41-A332-8114CBED92C1}"/>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0 2 2" xfId="16317" xr:uid="{C33F18E7-1DA2-460C-B7BC-9DE766E64219}"/>
    <cellStyle name="Comma 4 2 3 10 2 3" xfId="24764" xr:uid="{4E3966A5-8A4E-4D01-89C4-019D3114344F}"/>
    <cellStyle name="Comma 4 2 3 10 3" xfId="12100" xr:uid="{8407A55E-8D50-4FFE-8B34-81AB97A6A76F}"/>
    <cellStyle name="Comma 4 2 3 10 4" xfId="20547" xr:uid="{8F89012E-4924-409C-83E0-7BECB1805FF2}"/>
    <cellStyle name="Comma 4 2 3 11" xfId="4608" xr:uid="{00000000-0005-0000-0000-00005B080000}"/>
    <cellStyle name="Comma 4 2 3 11 2" xfId="13934" xr:uid="{19B2A0AC-91B9-443B-A091-FB0A7153B22D}"/>
    <cellStyle name="Comma 4 2 3 11 3" xfId="22381" xr:uid="{9975B256-B797-4A49-9CFF-BF493DEDCC74}"/>
    <cellStyle name="Comma 4 2 3 12" xfId="8805" xr:uid="{C45527F6-07B7-4887-BAF3-A6424444BA3B}"/>
    <cellStyle name="Comma 4 2 3 13" xfId="9717" xr:uid="{1451C25B-D5DB-4AA8-A248-2531B16DA4DF}"/>
    <cellStyle name="Comma 4 2 3 14" xfId="18164" xr:uid="{04DA3262-71C9-4546-9062-973E8634135E}"/>
    <cellStyle name="Comma 4 2 3 2" xfId="137" xr:uid="{00000000-0005-0000-0000-00005C080000}"/>
    <cellStyle name="Comma 4 2 3 2 10" xfId="4609" xr:uid="{00000000-0005-0000-0000-00005D080000}"/>
    <cellStyle name="Comma 4 2 3 2 10 2" xfId="13935" xr:uid="{B7CEB97E-FC3F-409A-977E-5E8F0CD61586}"/>
    <cellStyle name="Comma 4 2 3 2 10 3" xfId="22382" xr:uid="{CB623A99-AC0F-4752-AF96-EF3028E9F4F0}"/>
    <cellStyle name="Comma 4 2 3 2 11" xfId="8908" xr:uid="{E7021C11-E6EB-4392-A0AD-2A78F42B4BB7}"/>
    <cellStyle name="Comma 4 2 3 2 12" xfId="9718" xr:uid="{F83F2414-8D96-4923-BC83-420340E81D4D}"/>
    <cellStyle name="Comma 4 2 3 2 13" xfId="18165" xr:uid="{9079D5D1-6250-4976-B485-9067CC8788C7}"/>
    <cellStyle name="Comma 4 2 3 2 2" xfId="138" xr:uid="{00000000-0005-0000-0000-00005E080000}"/>
    <cellStyle name="Comma 4 2 3 2 2 10" xfId="9115" xr:uid="{1A31CCC4-B2C0-4E0C-B714-855521500FE8}"/>
    <cellStyle name="Comma 4 2 3 2 2 11" xfId="9719" xr:uid="{FD12891F-830A-4E56-B4F9-37EC5E187F57}"/>
    <cellStyle name="Comma 4 2 3 2 2 12" xfId="18166" xr:uid="{80A6E796-91F4-4F84-99EE-3472EB5031D1}"/>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959A7910-0830-45B4-8B08-87CFD02DBA69}"/>
    <cellStyle name="Comma 4 2 3 2 2 2 2 2 3" xfId="24942" xr:uid="{82A51E22-E256-4C4F-B74E-AB634D1E4FBA}"/>
    <cellStyle name="Comma 4 2 3 2 2 2 2 3" xfId="12278" xr:uid="{06407018-55F1-4255-8D93-3BB654CBA19B}"/>
    <cellStyle name="Comma 4 2 3 2 2 2 2 4" xfId="20725" xr:uid="{EC530279-0DC0-4FD9-BBFC-C3C85FE7621A}"/>
    <cellStyle name="Comma 4 2 3 2 2 2 3" xfId="5024" xr:uid="{00000000-0005-0000-0000-000062080000}"/>
    <cellStyle name="Comma 4 2 3 2 2 2 3 2" xfId="14350" xr:uid="{CEEB0C88-1465-48FD-8374-B9B30E0700B9}"/>
    <cellStyle name="Comma 4 2 3 2 2 2 3 3" xfId="22797" xr:uid="{5A386D41-F625-48D8-8E48-620998C85A28}"/>
    <cellStyle name="Comma 4 2 3 2 2 2 4" xfId="9540" xr:uid="{F922DD27-FEAE-4DB6-894F-26CD58815668}"/>
    <cellStyle name="Comma 4 2 3 2 2 2 5" xfId="10133" xr:uid="{5D4EA397-EC2D-4D62-9DED-93601B766A3E}"/>
    <cellStyle name="Comma 4 2 3 2 2 2 6" xfId="18580" xr:uid="{F58E97C9-ADE2-44B5-B73E-29CBB5259A96}"/>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90D101B6-5BBF-414C-8F43-9D788ED1905C}"/>
    <cellStyle name="Comma 4 2 3 2 2 3 2 2 3" xfId="25355" xr:uid="{13F7E458-6D7C-4B57-8B47-754A213B1E4A}"/>
    <cellStyle name="Comma 4 2 3 2 2 3 2 3" xfId="12691" xr:uid="{9C7E10AA-D328-4A5F-874D-9B387F474576}"/>
    <cellStyle name="Comma 4 2 3 2 2 3 2 4" xfId="21138" xr:uid="{64B8B75B-CE88-4242-9ACE-5B1776C492A4}"/>
    <cellStyle name="Comma 4 2 3 2 2 3 3" xfId="5437" xr:uid="{00000000-0005-0000-0000-000066080000}"/>
    <cellStyle name="Comma 4 2 3 2 2 3 3 2" xfId="14763" xr:uid="{9341E569-56B2-4AF8-9227-F4E0EB30BB60}"/>
    <cellStyle name="Comma 4 2 3 2 2 3 3 3" xfId="23210" xr:uid="{C8E3C2B6-3C2A-4234-8B43-1A0297624C57}"/>
    <cellStyle name="Comma 4 2 3 2 2 3 4" xfId="10546" xr:uid="{75BAB2E5-FED0-4756-8F60-87FB6644C602}"/>
    <cellStyle name="Comma 4 2 3 2 2 3 5" xfId="18993" xr:uid="{013610BC-45B9-4E5F-9C32-45B573C3AE82}"/>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3FA3B31C-B69D-4316-BD0B-8B550DAF06AE}"/>
    <cellStyle name="Comma 4 2 3 2 2 4 2 2 3" xfId="25768" xr:uid="{48B24D63-13E6-4562-8542-F988829C67FD}"/>
    <cellStyle name="Comma 4 2 3 2 2 4 2 3" xfId="13104" xr:uid="{726CE7F1-AD9E-417B-9AB9-8C81F9B6FAC0}"/>
    <cellStyle name="Comma 4 2 3 2 2 4 2 4" xfId="21551" xr:uid="{45A8C78F-4C37-407C-B953-1BBBDEEE1947}"/>
    <cellStyle name="Comma 4 2 3 2 2 4 3" xfId="5850" xr:uid="{00000000-0005-0000-0000-00006A080000}"/>
    <cellStyle name="Comma 4 2 3 2 2 4 3 2" xfId="15176" xr:uid="{5717C3A0-B6A5-4C43-8CE5-63141A67DC75}"/>
    <cellStyle name="Comma 4 2 3 2 2 4 3 3" xfId="23623" xr:uid="{0D0E27B3-86DC-43C6-90A7-09EFC1601E73}"/>
    <cellStyle name="Comma 4 2 3 2 2 4 4" xfId="10959" xr:uid="{DBAA65F1-D4AD-4005-A8BE-7F60045D214B}"/>
    <cellStyle name="Comma 4 2 3 2 2 4 5" xfId="19406" xr:uid="{FE846EB2-FD9E-48EC-A19E-6D8E9021EE04}"/>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3C86BAD9-8FCB-49CF-AEE5-4AF9091CE472}"/>
    <cellStyle name="Comma 4 2 3 2 2 5 2 2 3" xfId="26181" xr:uid="{3706CE30-2FCB-43CF-90D7-7C3482DC02D4}"/>
    <cellStyle name="Comma 4 2 3 2 2 5 2 3" xfId="13517" xr:uid="{B9BA6FDF-4267-4C04-9E9A-77D713E0078D}"/>
    <cellStyle name="Comma 4 2 3 2 2 5 2 4" xfId="21964" xr:uid="{D3C17C2A-7785-4D10-88C6-06923D8AFA74}"/>
    <cellStyle name="Comma 4 2 3 2 2 5 3" xfId="6263" xr:uid="{00000000-0005-0000-0000-00006E080000}"/>
    <cellStyle name="Comma 4 2 3 2 2 5 3 2" xfId="15589" xr:uid="{070EFFD4-1AF4-4991-8453-06D79700F9ED}"/>
    <cellStyle name="Comma 4 2 3 2 2 5 3 3" xfId="24036" xr:uid="{D8865409-0F97-4479-9CAF-8ECE03CADAED}"/>
    <cellStyle name="Comma 4 2 3 2 2 5 4" xfId="11372" xr:uid="{CEC5E4E9-193A-41EC-8143-48A1EB13FBF3}"/>
    <cellStyle name="Comma 4 2 3 2 2 5 5" xfId="19819" xr:uid="{6EA6B9D8-43E6-4BB8-91FD-373B82E16CCD}"/>
    <cellStyle name="Comma 4 2 3 2 2 6" xfId="2392" xr:uid="{00000000-0005-0000-0000-00006F080000}"/>
    <cellStyle name="Comma 4 2 3 2 2 6 2" xfId="6676" xr:uid="{00000000-0005-0000-0000-000070080000}"/>
    <cellStyle name="Comma 4 2 3 2 2 6 2 2" xfId="16002" xr:uid="{03EDD5BA-E21F-4E98-A854-76CDBF81C068}"/>
    <cellStyle name="Comma 4 2 3 2 2 6 2 3" xfId="24449" xr:uid="{3867DDD9-BC2E-4F98-B8D3-4D05EAAEFE0F}"/>
    <cellStyle name="Comma 4 2 3 2 2 6 3" xfId="11785" xr:uid="{B1BDACA0-5766-48F8-BB4E-AB2CE193E124}"/>
    <cellStyle name="Comma 4 2 3 2 2 6 4" xfId="20232" xr:uid="{FBDD5F24-AEFE-46E0-93B2-7F37FC90893C}"/>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8A25A404-BC18-41B0-A2C7-55D166841B40}"/>
    <cellStyle name="Comma 4 2 3 2 2 8 2 3" xfId="24766" xr:uid="{E89F0CF8-B13F-4C08-BDCF-FA3B5A2262FF}"/>
    <cellStyle name="Comma 4 2 3 2 2 8 3" xfId="12102" xr:uid="{142A2A8A-C572-4C9F-AF4F-F6799D0D6831}"/>
    <cellStyle name="Comma 4 2 3 2 2 8 4" xfId="20549" xr:uid="{9F3EE43F-E25C-415A-8EBB-E8FC43E47E49}"/>
    <cellStyle name="Comma 4 2 3 2 2 9" xfId="4610" xr:uid="{00000000-0005-0000-0000-000074080000}"/>
    <cellStyle name="Comma 4 2 3 2 2 9 2" xfId="13936" xr:uid="{9E5A04A6-C97B-4551-AEC1-3299361AD059}"/>
    <cellStyle name="Comma 4 2 3 2 2 9 3" xfId="22383" xr:uid="{3EFD8B57-BC8C-4445-92EB-3A22683DF438}"/>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B4223B8C-9211-456C-9A65-EE472D1CADBB}"/>
    <cellStyle name="Comma 4 2 3 2 3 2 2 3" xfId="24941" xr:uid="{5F323F68-FD77-4D24-9786-5B336AFDC30A}"/>
    <cellStyle name="Comma 4 2 3 2 3 2 3" xfId="12277" xr:uid="{E7A69299-9358-451F-B81F-8E8AD5A44634}"/>
    <cellStyle name="Comma 4 2 3 2 3 2 4" xfId="20724" xr:uid="{146E6EAE-D52F-4B03-96BD-9147D606F2B6}"/>
    <cellStyle name="Comma 4 2 3 2 3 3" xfId="5023" xr:uid="{00000000-0005-0000-0000-000078080000}"/>
    <cellStyle name="Comma 4 2 3 2 3 3 2" xfId="14349" xr:uid="{39AE8A84-605A-4539-913A-7DBE6588154E}"/>
    <cellStyle name="Comma 4 2 3 2 3 3 3" xfId="22796" xr:uid="{49518D60-F1BF-4297-8C19-35DADB01C82E}"/>
    <cellStyle name="Comma 4 2 3 2 3 4" xfId="9333" xr:uid="{5C974796-1B06-4FA8-AB2A-F6B34628ACD4}"/>
    <cellStyle name="Comma 4 2 3 2 3 5" xfId="10132" xr:uid="{D813D8EE-A0C2-415B-9612-9DD3DAF956B6}"/>
    <cellStyle name="Comma 4 2 3 2 3 6" xfId="18579" xr:uid="{80153F53-F33C-45D4-AE94-DF3642326667}"/>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8F4CB828-4B6F-42E4-86D2-9FFBBF4810A5}"/>
    <cellStyle name="Comma 4 2 3 2 4 2 2 3" xfId="25354" xr:uid="{7FDBCF9A-F167-423D-ACC1-18C69BB1B37E}"/>
    <cellStyle name="Comma 4 2 3 2 4 2 3" xfId="12690" xr:uid="{40050E99-311E-4B51-84AD-DCBC344C7DB1}"/>
    <cellStyle name="Comma 4 2 3 2 4 2 4" xfId="21137" xr:uid="{79643A39-153C-4E12-B8C3-B2973FBA14EF}"/>
    <cellStyle name="Comma 4 2 3 2 4 3" xfId="5436" xr:uid="{00000000-0005-0000-0000-00007C080000}"/>
    <cellStyle name="Comma 4 2 3 2 4 3 2" xfId="14762" xr:uid="{752E5123-EB76-4904-B3B6-2C38B303E9A3}"/>
    <cellStyle name="Comma 4 2 3 2 4 3 3" xfId="23209" xr:uid="{348F3B7B-8A5C-4EF4-A263-CD35366BE4EF}"/>
    <cellStyle name="Comma 4 2 3 2 4 4" xfId="10545" xr:uid="{B4109BE6-BBC3-4D02-83EA-3DD499DEC8C1}"/>
    <cellStyle name="Comma 4 2 3 2 4 5" xfId="18992" xr:uid="{013E9393-C304-4D51-97AD-EC46533B5975}"/>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09BA0997-0C79-410F-B7F2-9B557AF58CB5}"/>
    <cellStyle name="Comma 4 2 3 2 5 2 2 3" xfId="25767" xr:uid="{AF256E55-436B-467A-9F38-A6F685FB7D75}"/>
    <cellStyle name="Comma 4 2 3 2 5 2 3" xfId="13103" xr:uid="{B6C6E3BD-6F74-4786-9AED-2FB00E4D2755}"/>
    <cellStyle name="Comma 4 2 3 2 5 2 4" xfId="21550" xr:uid="{5028BDF5-B067-4473-88BA-448A63910C69}"/>
    <cellStyle name="Comma 4 2 3 2 5 3" xfId="5849" xr:uid="{00000000-0005-0000-0000-000080080000}"/>
    <cellStyle name="Comma 4 2 3 2 5 3 2" xfId="15175" xr:uid="{D6E8AC39-098A-4203-A4D7-BC8F2A1C0686}"/>
    <cellStyle name="Comma 4 2 3 2 5 3 3" xfId="23622" xr:uid="{5B12413D-E931-4CBB-B365-E91D2F877ADE}"/>
    <cellStyle name="Comma 4 2 3 2 5 4" xfId="10958" xr:uid="{1DA9DD09-1A6E-484B-97F3-3C66A73F3C2C}"/>
    <cellStyle name="Comma 4 2 3 2 5 5" xfId="19405" xr:uid="{5D40321B-9007-4E78-9288-51CE3E9BF4BD}"/>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AA912BBE-6723-4D14-883D-FEFECC718C3D}"/>
    <cellStyle name="Comma 4 2 3 2 6 2 2 3" xfId="26180" xr:uid="{2F43A95E-8705-41AB-B13C-4155CFA3D026}"/>
    <cellStyle name="Comma 4 2 3 2 6 2 3" xfId="13516" xr:uid="{4FE22177-6C0B-45CF-9F0D-8BFCD7F8E4F8}"/>
    <cellStyle name="Comma 4 2 3 2 6 2 4" xfId="21963" xr:uid="{2478B5F9-9137-48E8-9D25-0EBA52E35BB3}"/>
    <cellStyle name="Comma 4 2 3 2 6 3" xfId="6262" xr:uid="{00000000-0005-0000-0000-000084080000}"/>
    <cellStyle name="Comma 4 2 3 2 6 3 2" xfId="15588" xr:uid="{EEB8C411-D480-4532-BDFE-89A9EC3483E2}"/>
    <cellStyle name="Comma 4 2 3 2 6 3 3" xfId="24035" xr:uid="{A9EC4351-51FE-44C3-A56B-1FE37BFDA9CB}"/>
    <cellStyle name="Comma 4 2 3 2 6 4" xfId="11371" xr:uid="{54717A7B-E58C-4C67-A634-08DC274C7383}"/>
    <cellStyle name="Comma 4 2 3 2 6 5" xfId="19818" xr:uid="{3E6BCC3D-8D91-4BE6-AE3A-8BEBE3D89B81}"/>
    <cellStyle name="Comma 4 2 3 2 7" xfId="2391" xr:uid="{00000000-0005-0000-0000-000085080000}"/>
    <cellStyle name="Comma 4 2 3 2 7 2" xfId="6675" xr:uid="{00000000-0005-0000-0000-000086080000}"/>
    <cellStyle name="Comma 4 2 3 2 7 2 2" xfId="16001" xr:uid="{640B0BCA-6690-49BE-A49C-ED3856EA3707}"/>
    <cellStyle name="Comma 4 2 3 2 7 2 3" xfId="24448" xr:uid="{1324E115-BE85-4545-B1B0-EBAEE4EE2564}"/>
    <cellStyle name="Comma 4 2 3 2 7 3" xfId="11784" xr:uid="{BAEB9BCE-9A81-4340-9646-9EC5EFBDC1DE}"/>
    <cellStyle name="Comma 4 2 3 2 7 4" xfId="20231" xr:uid="{A4359C21-348D-4152-91E7-4AA41C31346C}"/>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733BAEBF-5F10-4078-931A-80B7AA276FCD}"/>
    <cellStyle name="Comma 4 2 3 2 9 2 3" xfId="24765" xr:uid="{B32AC957-9370-4475-9B17-9D40C19FE47B}"/>
    <cellStyle name="Comma 4 2 3 2 9 3" xfId="12101" xr:uid="{C3E5600E-F767-4274-8A99-75D6350F4759}"/>
    <cellStyle name="Comma 4 2 3 2 9 4" xfId="20548" xr:uid="{5FD089E1-FBC9-483A-ACB9-31E2E648DF9C}"/>
    <cellStyle name="Comma 4 2 3 3" xfId="139" xr:uid="{00000000-0005-0000-0000-00008A080000}"/>
    <cellStyle name="Comma 4 2 3 3 10" xfId="9012" xr:uid="{61C0F117-76A9-43CA-B381-88B2CFF6294C}"/>
    <cellStyle name="Comma 4 2 3 3 11" xfId="9720" xr:uid="{6DBD8FF7-D5F1-4626-B8F6-C75871847CC2}"/>
    <cellStyle name="Comma 4 2 3 3 12" xfId="18167" xr:uid="{40E9A474-0C60-4C27-89C7-C6503BEB23C7}"/>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22E2E562-2D57-4BA5-AAF2-3B82BC9A7D7B}"/>
    <cellStyle name="Comma 4 2 3 3 2 2 2 3" xfId="24943" xr:uid="{09675ECA-0586-4BA7-94B0-30BA60E86E3B}"/>
    <cellStyle name="Comma 4 2 3 3 2 2 3" xfId="12279" xr:uid="{02F5C518-4AF5-4B3B-94F8-CB6EF38F0C39}"/>
    <cellStyle name="Comma 4 2 3 3 2 2 4" xfId="20726" xr:uid="{DBED3EB1-B6C5-4282-958B-F6F6BE21D987}"/>
    <cellStyle name="Comma 4 2 3 3 2 3" xfId="5025" xr:uid="{00000000-0005-0000-0000-00008E080000}"/>
    <cellStyle name="Comma 4 2 3 3 2 3 2" xfId="14351" xr:uid="{F401D598-7E54-4835-8329-C89FF8AF93B7}"/>
    <cellStyle name="Comma 4 2 3 3 2 3 3" xfId="22798" xr:uid="{4E1DE592-B0E5-4E33-982F-1415D2CD61A6}"/>
    <cellStyle name="Comma 4 2 3 3 2 4" xfId="9437" xr:uid="{35C6809B-E49F-4A7F-8CB1-650474E72B0A}"/>
    <cellStyle name="Comma 4 2 3 3 2 5" xfId="10134" xr:uid="{24502A5A-8505-43E8-A63E-FC5420C038BA}"/>
    <cellStyle name="Comma 4 2 3 3 2 6" xfId="18581" xr:uid="{B78D9BAE-C62A-4888-ABC1-40008F887830}"/>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15180DF6-0737-4EF4-BD1D-E832FC26A0AC}"/>
    <cellStyle name="Comma 4 2 3 3 3 2 2 3" xfId="25356" xr:uid="{48C5C965-8F35-4C9F-9274-2CFFDEDB001C}"/>
    <cellStyle name="Comma 4 2 3 3 3 2 3" xfId="12692" xr:uid="{87B21622-CC47-4407-8192-10CFAC44B395}"/>
    <cellStyle name="Comma 4 2 3 3 3 2 4" xfId="21139" xr:uid="{1EC8CC65-77B8-460C-9E72-AD9E1D8DD323}"/>
    <cellStyle name="Comma 4 2 3 3 3 3" xfId="5438" xr:uid="{00000000-0005-0000-0000-000092080000}"/>
    <cellStyle name="Comma 4 2 3 3 3 3 2" xfId="14764" xr:uid="{1DFFDF6B-01FF-4BCA-92BD-68AF3F865C54}"/>
    <cellStyle name="Comma 4 2 3 3 3 3 3" xfId="23211" xr:uid="{5E02CA57-2584-46A7-9C20-5C90DECB0155}"/>
    <cellStyle name="Comma 4 2 3 3 3 4" xfId="10547" xr:uid="{7886331D-D110-4DB2-9808-1CE81D65CE95}"/>
    <cellStyle name="Comma 4 2 3 3 3 5" xfId="18994" xr:uid="{6AC8EF13-FE20-4078-9E07-20FE7B35238E}"/>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CFB612D0-505D-4912-B9D5-62829492E5B0}"/>
    <cellStyle name="Comma 4 2 3 3 4 2 2 3" xfId="25769" xr:uid="{DF1B6A57-AB11-480B-BE99-EC3C68A5EC16}"/>
    <cellStyle name="Comma 4 2 3 3 4 2 3" xfId="13105" xr:uid="{1FA8C01E-CCE6-43D5-8204-1A0E7D14AAC4}"/>
    <cellStyle name="Comma 4 2 3 3 4 2 4" xfId="21552" xr:uid="{492E9E95-F0C8-4DD2-9527-64755DB6A08B}"/>
    <cellStyle name="Comma 4 2 3 3 4 3" xfId="5851" xr:uid="{00000000-0005-0000-0000-000096080000}"/>
    <cellStyle name="Comma 4 2 3 3 4 3 2" xfId="15177" xr:uid="{2ECEAFF6-B164-40E4-8538-1D0D5B70EF33}"/>
    <cellStyle name="Comma 4 2 3 3 4 3 3" xfId="23624" xr:uid="{F211738F-DA99-4FD9-A618-5B00EE2B8443}"/>
    <cellStyle name="Comma 4 2 3 3 4 4" xfId="10960" xr:uid="{C80B269F-979F-49F5-855C-8E0474B57E95}"/>
    <cellStyle name="Comma 4 2 3 3 4 5" xfId="19407" xr:uid="{78ADDC30-358F-4F69-BFA8-DE47517631E7}"/>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14C0E55A-EF71-446A-941F-829707141AC9}"/>
    <cellStyle name="Comma 4 2 3 3 5 2 2 3" xfId="26182" xr:uid="{B392DDBC-B0E8-4FF3-BD38-76E066E98BA0}"/>
    <cellStyle name="Comma 4 2 3 3 5 2 3" xfId="13518" xr:uid="{EAC3CB59-3E8C-4988-9F23-A1756F1F4C23}"/>
    <cellStyle name="Comma 4 2 3 3 5 2 4" xfId="21965" xr:uid="{28A24DF4-7D08-45F7-9269-E6D36F4FB90D}"/>
    <cellStyle name="Comma 4 2 3 3 5 3" xfId="6264" xr:uid="{00000000-0005-0000-0000-00009A080000}"/>
    <cellStyle name="Comma 4 2 3 3 5 3 2" xfId="15590" xr:uid="{2BA31305-051B-4312-BD85-6223C9990535}"/>
    <cellStyle name="Comma 4 2 3 3 5 3 3" xfId="24037" xr:uid="{8E503B78-6A2B-45B7-B7B3-4667EDE5EE08}"/>
    <cellStyle name="Comma 4 2 3 3 5 4" xfId="11373" xr:uid="{CFDBF277-DB32-4D44-B175-AE85288F0EB8}"/>
    <cellStyle name="Comma 4 2 3 3 5 5" xfId="19820" xr:uid="{D8268321-448A-479E-98D5-D5293332E88D}"/>
    <cellStyle name="Comma 4 2 3 3 6" xfId="2393" xr:uid="{00000000-0005-0000-0000-00009B080000}"/>
    <cellStyle name="Comma 4 2 3 3 6 2" xfId="6677" xr:uid="{00000000-0005-0000-0000-00009C080000}"/>
    <cellStyle name="Comma 4 2 3 3 6 2 2" xfId="16003" xr:uid="{0D43221F-2ED0-47AA-9352-288A92FFAAB3}"/>
    <cellStyle name="Comma 4 2 3 3 6 2 3" xfId="24450" xr:uid="{75EC6858-A516-446F-B416-216F5263DA4D}"/>
    <cellStyle name="Comma 4 2 3 3 6 3" xfId="11786" xr:uid="{255D8ED2-414E-4EE1-9D72-50B1C90A9D48}"/>
    <cellStyle name="Comma 4 2 3 3 6 4" xfId="20233" xr:uid="{6169A30A-0B84-475C-AB3D-F3EC9A099A4D}"/>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81E05661-B411-413B-9C31-A5E88AABBBAF}"/>
    <cellStyle name="Comma 4 2 3 3 8 2 3" xfId="24767" xr:uid="{0D1A530B-A9ED-4B4E-8B4F-1D36E3C0D96E}"/>
    <cellStyle name="Comma 4 2 3 3 8 3" xfId="12103" xr:uid="{4FB9761A-D471-476F-B945-775983E55071}"/>
    <cellStyle name="Comma 4 2 3 3 8 4" xfId="20550" xr:uid="{CAB96BC5-216C-46FC-A5C8-85399C3F6A09}"/>
    <cellStyle name="Comma 4 2 3 3 9" xfId="4611" xr:uid="{00000000-0005-0000-0000-0000A0080000}"/>
    <cellStyle name="Comma 4 2 3 3 9 2" xfId="13937" xr:uid="{7A961472-EE05-48EA-8296-FBFEECF1E20F}"/>
    <cellStyle name="Comma 4 2 3 3 9 3" xfId="22384" xr:uid="{B41EFB90-31C2-4EDA-9C1D-B0BBAA731BBF}"/>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AE105398-9F56-49E3-B8B3-AD4191B4A4DB}"/>
    <cellStyle name="Comma 4 2 3 4 2 2 3" xfId="24940" xr:uid="{1D7E2A2D-DEB4-40B6-9445-48D2DB829C45}"/>
    <cellStyle name="Comma 4 2 3 4 2 3" xfId="12276" xr:uid="{90830BB7-9558-4D65-A3FD-055CEC31A527}"/>
    <cellStyle name="Comma 4 2 3 4 2 4" xfId="20723" xr:uid="{D2217078-A83E-4CE0-816D-89168AB3660F}"/>
    <cellStyle name="Comma 4 2 3 4 3" xfId="5022" xr:uid="{00000000-0005-0000-0000-0000A4080000}"/>
    <cellStyle name="Comma 4 2 3 4 3 2" xfId="14348" xr:uid="{3CC7FDE2-AD60-4B32-B9E8-48C109140BA5}"/>
    <cellStyle name="Comma 4 2 3 4 3 3" xfId="22795" xr:uid="{FAAC1ED7-92EC-4AE0-BB70-B069AE733695}"/>
    <cellStyle name="Comma 4 2 3 4 4" xfId="9230" xr:uid="{24B6B749-023F-4009-8785-C6CFE1098E24}"/>
    <cellStyle name="Comma 4 2 3 4 5" xfId="10131" xr:uid="{91602650-72CF-44A4-9922-A47C70855102}"/>
    <cellStyle name="Comma 4 2 3 4 6" xfId="18578" xr:uid="{5BCC475C-85A7-4179-91BF-612C3C6DC31D}"/>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35A7460F-93A1-40F3-873D-7A681B57B720}"/>
    <cellStyle name="Comma 4 2 3 5 2 2 3" xfId="25353" xr:uid="{DF73D72C-CCD0-4C84-9BAB-F81BA08908DC}"/>
    <cellStyle name="Comma 4 2 3 5 2 3" xfId="12689" xr:uid="{56B8723E-E3A0-4DAF-9538-EEC12199DAD0}"/>
    <cellStyle name="Comma 4 2 3 5 2 4" xfId="21136" xr:uid="{A8CA0C23-A03E-475B-B50D-60BA985366A8}"/>
    <cellStyle name="Comma 4 2 3 5 3" xfId="5435" xr:uid="{00000000-0005-0000-0000-0000A8080000}"/>
    <cellStyle name="Comma 4 2 3 5 3 2" xfId="14761" xr:uid="{7419EFEE-42C4-4232-A2BE-114B94D783D1}"/>
    <cellStyle name="Comma 4 2 3 5 3 3" xfId="23208" xr:uid="{B4C15B56-F029-4DFD-B68F-CDA139E30CC7}"/>
    <cellStyle name="Comma 4 2 3 5 4" xfId="10544" xr:uid="{3A6759F6-2470-459C-A7EA-F5D66B03E4C7}"/>
    <cellStyle name="Comma 4 2 3 5 5" xfId="18991" xr:uid="{5403FC76-1B5C-444B-802F-316199324F42}"/>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97963AC3-B589-4FF9-BCCD-AE939033E18B}"/>
    <cellStyle name="Comma 4 2 3 6 2 2 3" xfId="25766" xr:uid="{1E023404-D072-4DCA-91A2-55900D41D9E7}"/>
    <cellStyle name="Comma 4 2 3 6 2 3" xfId="13102" xr:uid="{4541A5B8-B5BE-422C-A838-B95795D1731C}"/>
    <cellStyle name="Comma 4 2 3 6 2 4" xfId="21549" xr:uid="{BCE429FF-75AA-4552-A44C-A44C85DCAC2E}"/>
    <cellStyle name="Comma 4 2 3 6 3" xfId="5848" xr:uid="{00000000-0005-0000-0000-0000AC080000}"/>
    <cellStyle name="Comma 4 2 3 6 3 2" xfId="15174" xr:uid="{AD27AC4E-4CE0-492E-861A-BAAE6D4723B5}"/>
    <cellStyle name="Comma 4 2 3 6 3 3" xfId="23621" xr:uid="{CA6BA265-EF5E-4BBA-8C96-A35718BD6141}"/>
    <cellStyle name="Comma 4 2 3 6 4" xfId="10957" xr:uid="{29F766B7-6C22-4E2F-9CB6-3DA9B3D19235}"/>
    <cellStyle name="Comma 4 2 3 6 5" xfId="19404" xr:uid="{8F175402-AF12-4FAC-9F05-0CA11D8C3515}"/>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B69FB12C-0844-49F6-A85D-7C76524E459C}"/>
    <cellStyle name="Comma 4 2 3 7 2 2 3" xfId="26179" xr:uid="{88B94788-A143-4DDB-A642-C8704525FDC5}"/>
    <cellStyle name="Comma 4 2 3 7 2 3" xfId="13515" xr:uid="{F3943A92-584E-4EB7-A4D0-569B3D6644C5}"/>
    <cellStyle name="Comma 4 2 3 7 2 4" xfId="21962" xr:uid="{20ABEE1C-FAA1-4E1F-A609-EDC4608C42E1}"/>
    <cellStyle name="Comma 4 2 3 7 3" xfId="6261" xr:uid="{00000000-0005-0000-0000-0000B0080000}"/>
    <cellStyle name="Comma 4 2 3 7 3 2" xfId="15587" xr:uid="{3B83A7F7-1375-41D9-AF39-0AE5C0FE5364}"/>
    <cellStyle name="Comma 4 2 3 7 3 3" xfId="24034" xr:uid="{46CD29EC-369B-4FEE-A62D-9D2A3B81B170}"/>
    <cellStyle name="Comma 4 2 3 7 4" xfId="11370" xr:uid="{EB362BDF-5A03-47D8-9BF6-C09E23972E26}"/>
    <cellStyle name="Comma 4 2 3 7 5" xfId="19817" xr:uid="{6214A65A-671F-4613-A7E9-82B909E149E3}"/>
    <cellStyle name="Comma 4 2 3 8" xfId="2390" xr:uid="{00000000-0005-0000-0000-0000B1080000}"/>
    <cellStyle name="Comma 4 2 3 8 2" xfId="6674" xr:uid="{00000000-0005-0000-0000-0000B2080000}"/>
    <cellStyle name="Comma 4 2 3 8 2 2" xfId="16000" xr:uid="{A578F5F0-972C-4B79-B395-B4AF52397A2C}"/>
    <cellStyle name="Comma 4 2 3 8 2 3" xfId="24447" xr:uid="{A704F53A-38B6-4B7E-866D-DF08F71B1169}"/>
    <cellStyle name="Comma 4 2 3 8 3" xfId="11783" xr:uid="{B6E2A91E-033A-4B09-96FD-D9C98788AE24}"/>
    <cellStyle name="Comma 4 2 3 8 4" xfId="20230" xr:uid="{1FEF635F-2364-4382-B870-26860C54E338}"/>
    <cellStyle name="Comma 4 2 3 9" xfId="2373" xr:uid="{00000000-0005-0000-0000-0000B3080000}"/>
    <cellStyle name="Comma 4 2 4" xfId="140" xr:uid="{00000000-0005-0000-0000-0000B4080000}"/>
    <cellStyle name="Comma 4 2 4 10" xfId="4612" xr:uid="{00000000-0005-0000-0000-0000B5080000}"/>
    <cellStyle name="Comma 4 2 4 10 2" xfId="13938" xr:uid="{D0271F19-E8E1-4C1C-AC6B-CF17AECA41D3}"/>
    <cellStyle name="Comma 4 2 4 10 3" xfId="22385" xr:uid="{4F7BDB1F-ACDD-47ED-B622-BEA9ABF7F884}"/>
    <cellStyle name="Comma 4 2 4 11" xfId="8858" xr:uid="{B6A00C95-D04C-44B2-B8AF-67540882256C}"/>
    <cellStyle name="Comma 4 2 4 12" xfId="9721" xr:uid="{840C923E-BEAA-472B-AF5E-2B7F010A683C}"/>
    <cellStyle name="Comma 4 2 4 13" xfId="18168" xr:uid="{B599A608-228F-4E0B-BC83-E53C40113924}"/>
    <cellStyle name="Comma 4 2 4 2" xfId="141" xr:uid="{00000000-0005-0000-0000-0000B6080000}"/>
    <cellStyle name="Comma 4 2 4 2 10" xfId="9065" xr:uid="{961AA06A-D943-447E-AADB-49B440E7E7CE}"/>
    <cellStyle name="Comma 4 2 4 2 11" xfId="9722" xr:uid="{31A3C7A8-17EE-4BE0-BA6B-6887896C0329}"/>
    <cellStyle name="Comma 4 2 4 2 12" xfId="18169" xr:uid="{D683E16F-8309-4A38-95D6-343181B7C73C}"/>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A55B407E-E92C-465C-8A36-24B23235ED2E}"/>
    <cellStyle name="Comma 4 2 4 2 2 2 2 3" xfId="24945" xr:uid="{4FE4AE8B-17D4-4CF7-BAEF-F9ADD6E15683}"/>
    <cellStyle name="Comma 4 2 4 2 2 2 3" xfId="12281" xr:uid="{A4965FE8-9BB6-47AD-880F-37DEEE092604}"/>
    <cellStyle name="Comma 4 2 4 2 2 2 4" xfId="20728" xr:uid="{FA058CD5-171D-4DF3-9735-ACA5A674B387}"/>
    <cellStyle name="Comma 4 2 4 2 2 3" xfId="5027" xr:uid="{00000000-0005-0000-0000-0000BA080000}"/>
    <cellStyle name="Comma 4 2 4 2 2 3 2" xfId="14353" xr:uid="{74BA76DF-97E0-4AAD-9226-14D99D9B56B2}"/>
    <cellStyle name="Comma 4 2 4 2 2 3 3" xfId="22800" xr:uid="{A5A08B23-28DB-4CF9-9A56-995BF9FC7881}"/>
    <cellStyle name="Comma 4 2 4 2 2 4" xfId="9490" xr:uid="{2FAEB1E6-7B41-437B-B2A9-4352AB4F4B98}"/>
    <cellStyle name="Comma 4 2 4 2 2 5" xfId="10136" xr:uid="{1795A5DD-60C7-4AC6-A913-CD061B2980E7}"/>
    <cellStyle name="Comma 4 2 4 2 2 6" xfId="18583" xr:uid="{9E96DF21-61C8-4EF1-948E-9D4309D6A7BD}"/>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063D8F22-3543-42D6-B066-8FA85F881BAE}"/>
    <cellStyle name="Comma 4 2 4 2 3 2 2 3" xfId="25358" xr:uid="{1B32FEAB-D091-4A8C-AACA-D1611CEE8106}"/>
    <cellStyle name="Comma 4 2 4 2 3 2 3" xfId="12694" xr:uid="{CC988B46-03C9-48CD-9F1A-AED3080B99BE}"/>
    <cellStyle name="Comma 4 2 4 2 3 2 4" xfId="21141" xr:uid="{AE6574D4-5372-409A-B1AB-C6E96079B165}"/>
    <cellStyle name="Comma 4 2 4 2 3 3" xfId="5440" xr:uid="{00000000-0005-0000-0000-0000BE080000}"/>
    <cellStyle name="Comma 4 2 4 2 3 3 2" xfId="14766" xr:uid="{AE0B5849-7546-460A-8108-277F5ACC3BB5}"/>
    <cellStyle name="Comma 4 2 4 2 3 3 3" xfId="23213" xr:uid="{42A35AE5-77A6-46C2-A12D-B7E5AB411A2C}"/>
    <cellStyle name="Comma 4 2 4 2 3 4" xfId="10549" xr:uid="{83B615AB-69D5-4CE4-86FC-D159D0B7B045}"/>
    <cellStyle name="Comma 4 2 4 2 3 5" xfId="18996" xr:uid="{08C37E35-256A-4E96-98F8-3491D2CA5B8F}"/>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E22DA990-9C68-47A0-A5CB-D19533696D87}"/>
    <cellStyle name="Comma 4 2 4 2 4 2 2 3" xfId="25771" xr:uid="{F0554343-AC7D-4728-BCFA-4965F9A4C6D9}"/>
    <cellStyle name="Comma 4 2 4 2 4 2 3" xfId="13107" xr:uid="{D73977F1-5E4B-4B76-84E4-017B821EA01F}"/>
    <cellStyle name="Comma 4 2 4 2 4 2 4" xfId="21554" xr:uid="{20A77D9D-F686-48E4-8E6B-77A106BC2935}"/>
    <cellStyle name="Comma 4 2 4 2 4 3" xfId="5853" xr:uid="{00000000-0005-0000-0000-0000C2080000}"/>
    <cellStyle name="Comma 4 2 4 2 4 3 2" xfId="15179" xr:uid="{87015C4A-047B-43A3-B1C5-30302A4592EA}"/>
    <cellStyle name="Comma 4 2 4 2 4 3 3" xfId="23626" xr:uid="{B317395E-45D2-4C3F-ABC9-4BC6C5E12857}"/>
    <cellStyle name="Comma 4 2 4 2 4 4" xfId="10962" xr:uid="{ADBADF6F-148B-489E-988F-4D5B2BDFE930}"/>
    <cellStyle name="Comma 4 2 4 2 4 5" xfId="19409" xr:uid="{A20E5EAF-F0ED-46A4-AE17-B42A433FF9A3}"/>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FA8D05C9-989C-43BA-9C69-E7D164A32B53}"/>
    <cellStyle name="Comma 4 2 4 2 5 2 2 3" xfId="26184" xr:uid="{F4E74858-BE83-4393-998C-C2F62BED451E}"/>
    <cellStyle name="Comma 4 2 4 2 5 2 3" xfId="13520" xr:uid="{81FFB66C-3E27-4FB3-A22E-6601FB32E659}"/>
    <cellStyle name="Comma 4 2 4 2 5 2 4" xfId="21967" xr:uid="{1FC7DF84-4C8B-40E2-8CA1-EF98DE867803}"/>
    <cellStyle name="Comma 4 2 4 2 5 3" xfId="6266" xr:uid="{00000000-0005-0000-0000-0000C6080000}"/>
    <cellStyle name="Comma 4 2 4 2 5 3 2" xfId="15592" xr:uid="{5EA37E78-D75C-4D2B-88E1-CB81BC751A72}"/>
    <cellStyle name="Comma 4 2 4 2 5 3 3" xfId="24039" xr:uid="{40860065-E306-45D8-A1C5-75A091D13CA9}"/>
    <cellStyle name="Comma 4 2 4 2 5 4" xfId="11375" xr:uid="{4D85D568-8F65-443D-838A-113936F763CE}"/>
    <cellStyle name="Comma 4 2 4 2 5 5" xfId="19822" xr:uid="{A60094B4-078A-4FCA-8DF7-E571745E08FB}"/>
    <cellStyle name="Comma 4 2 4 2 6" xfId="2395" xr:uid="{00000000-0005-0000-0000-0000C7080000}"/>
    <cellStyle name="Comma 4 2 4 2 6 2" xfId="6679" xr:uid="{00000000-0005-0000-0000-0000C8080000}"/>
    <cellStyle name="Comma 4 2 4 2 6 2 2" xfId="16005" xr:uid="{E39982EB-EA37-48D7-9687-4448DB568896}"/>
    <cellStyle name="Comma 4 2 4 2 6 2 3" xfId="24452" xr:uid="{254F8078-5D32-4358-A841-E76023FAA40F}"/>
    <cellStyle name="Comma 4 2 4 2 6 3" xfId="11788" xr:uid="{0217C62E-54C6-4EA3-815A-CF663DE229C3}"/>
    <cellStyle name="Comma 4 2 4 2 6 4" xfId="20235" xr:uid="{78BB6BBA-1DF3-4609-896F-F31703EE3E29}"/>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FEBB1A02-0641-46F6-95A7-E103985C83B0}"/>
    <cellStyle name="Comma 4 2 4 2 8 2 3" xfId="24769" xr:uid="{138D74AD-F033-4866-8E74-9910A0744095}"/>
    <cellStyle name="Comma 4 2 4 2 8 3" xfId="12105" xr:uid="{506B4C37-649F-401D-9A65-74B5903D3976}"/>
    <cellStyle name="Comma 4 2 4 2 8 4" xfId="20552" xr:uid="{823B6060-FF8F-4AFE-9FF3-2C6D18E56D9C}"/>
    <cellStyle name="Comma 4 2 4 2 9" xfId="4613" xr:uid="{00000000-0005-0000-0000-0000CC080000}"/>
    <cellStyle name="Comma 4 2 4 2 9 2" xfId="13939" xr:uid="{E9E5DE0D-2A30-479E-8691-7755E2546C15}"/>
    <cellStyle name="Comma 4 2 4 2 9 3" xfId="22386" xr:uid="{B03FD82D-CD69-4D74-849D-6BBEB36DC4CB}"/>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0C06EFFD-8D0A-4755-B144-2C57BEABE4E7}"/>
    <cellStyle name="Comma 4 2 4 3 2 2 3" xfId="24944" xr:uid="{9BCA43DF-18CE-4E3F-A237-48F6E5511A0A}"/>
    <cellStyle name="Comma 4 2 4 3 2 3" xfId="12280" xr:uid="{8E26E4E9-0184-4829-A905-8F77722D6648}"/>
    <cellStyle name="Comma 4 2 4 3 2 4" xfId="20727" xr:uid="{5DAD8684-27B5-4DFC-890A-31D08116E2AB}"/>
    <cellStyle name="Comma 4 2 4 3 3" xfId="5026" xr:uid="{00000000-0005-0000-0000-0000D0080000}"/>
    <cellStyle name="Comma 4 2 4 3 3 2" xfId="14352" xr:uid="{EBAEA973-B4B6-4680-BDD4-8AC6ED6DA8F2}"/>
    <cellStyle name="Comma 4 2 4 3 3 3" xfId="22799" xr:uid="{F5758978-DDB1-48E3-AEAB-0615C993F873}"/>
    <cellStyle name="Comma 4 2 4 3 4" xfId="9283" xr:uid="{7E46ED3C-A8F4-4512-93D9-5F41F1AC397C}"/>
    <cellStyle name="Comma 4 2 4 3 5" xfId="10135" xr:uid="{871711AF-A290-43B5-B97A-DB30621645EE}"/>
    <cellStyle name="Comma 4 2 4 3 6" xfId="18582" xr:uid="{0640A694-509B-4747-AC47-161CC409CB53}"/>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76CB654D-57D9-4F1C-B3AE-B6E694E11AC4}"/>
    <cellStyle name="Comma 4 2 4 4 2 2 3" xfId="25357" xr:uid="{104E0A0C-B47C-4C1A-9215-D1EAFDA7F5B7}"/>
    <cellStyle name="Comma 4 2 4 4 2 3" xfId="12693" xr:uid="{8941636C-5A52-4F5D-8A32-795591D0287E}"/>
    <cellStyle name="Comma 4 2 4 4 2 4" xfId="21140" xr:uid="{CB11212E-C465-4FB1-9D0D-2B6E14F128AC}"/>
    <cellStyle name="Comma 4 2 4 4 3" xfId="5439" xr:uid="{00000000-0005-0000-0000-0000D4080000}"/>
    <cellStyle name="Comma 4 2 4 4 3 2" xfId="14765" xr:uid="{7013F3A2-3CF4-44C0-8E05-1B81E7972867}"/>
    <cellStyle name="Comma 4 2 4 4 3 3" xfId="23212" xr:uid="{F8E5A06F-333C-4C02-9C4C-35E7D3D1964D}"/>
    <cellStyle name="Comma 4 2 4 4 4" xfId="10548" xr:uid="{4929AE29-9D6C-426F-BEB9-1937EDB8917E}"/>
    <cellStyle name="Comma 4 2 4 4 5" xfId="18995" xr:uid="{6CDCA8BF-892E-4345-937F-CAD979A74871}"/>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F2CFD7BC-6FEA-4A52-8C7D-6A2DA983C113}"/>
    <cellStyle name="Comma 4 2 4 5 2 2 3" xfId="25770" xr:uid="{9BBD81BE-99E3-4A63-AC3E-6A2E0FFA09A9}"/>
    <cellStyle name="Comma 4 2 4 5 2 3" xfId="13106" xr:uid="{8F08899D-9FE5-479A-8BD7-B66A5A9853D5}"/>
    <cellStyle name="Comma 4 2 4 5 2 4" xfId="21553" xr:uid="{8EC11582-F7C0-43BE-B200-CFD48F08067A}"/>
    <cellStyle name="Comma 4 2 4 5 3" xfId="5852" xr:uid="{00000000-0005-0000-0000-0000D8080000}"/>
    <cellStyle name="Comma 4 2 4 5 3 2" xfId="15178" xr:uid="{6CB3C625-27BC-4925-84E2-4C2568BF5A54}"/>
    <cellStyle name="Comma 4 2 4 5 3 3" xfId="23625" xr:uid="{06859E28-1CF4-4A5B-9E0D-735FAD05C440}"/>
    <cellStyle name="Comma 4 2 4 5 4" xfId="10961" xr:uid="{ED530566-4B0C-4AFA-82A7-5C5B04994945}"/>
    <cellStyle name="Comma 4 2 4 5 5" xfId="19408" xr:uid="{E07A6E7C-0C98-4C56-9580-C1BC0E04B02B}"/>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5CA7592F-52B8-4409-B75B-DB1F5A8E3779}"/>
    <cellStyle name="Comma 4 2 4 6 2 2 3" xfId="26183" xr:uid="{39795DCC-9FF9-4E7D-AD25-99372C58BA77}"/>
    <cellStyle name="Comma 4 2 4 6 2 3" xfId="13519" xr:uid="{326A5624-8F9C-4576-A74E-9693646BD28B}"/>
    <cellStyle name="Comma 4 2 4 6 2 4" xfId="21966" xr:uid="{79A87FC7-325A-4BE7-A344-59B54AD752B1}"/>
    <cellStyle name="Comma 4 2 4 6 3" xfId="6265" xr:uid="{00000000-0005-0000-0000-0000DC080000}"/>
    <cellStyle name="Comma 4 2 4 6 3 2" xfId="15591" xr:uid="{19DD6D28-C8B6-405C-808F-9C4DF9A7FD6C}"/>
    <cellStyle name="Comma 4 2 4 6 3 3" xfId="24038" xr:uid="{B1D6B741-1CC1-4D3D-B3D1-7DBDA3BB523C}"/>
    <cellStyle name="Comma 4 2 4 6 4" xfId="11374" xr:uid="{15A4B171-E82C-4C9A-84F1-CAB84014631B}"/>
    <cellStyle name="Comma 4 2 4 6 5" xfId="19821" xr:uid="{21A376DF-DD16-4F79-92DE-ECC579D33B50}"/>
    <cellStyle name="Comma 4 2 4 7" xfId="2394" xr:uid="{00000000-0005-0000-0000-0000DD080000}"/>
    <cellStyle name="Comma 4 2 4 7 2" xfId="6678" xr:uid="{00000000-0005-0000-0000-0000DE080000}"/>
    <cellStyle name="Comma 4 2 4 7 2 2" xfId="16004" xr:uid="{F395B70B-993B-41DC-BA2A-F10BC0EEDFF5}"/>
    <cellStyle name="Comma 4 2 4 7 2 3" xfId="24451" xr:uid="{2744F6C2-CE46-44D7-9091-3246A6BF5883}"/>
    <cellStyle name="Comma 4 2 4 7 3" xfId="11787" xr:uid="{1D7A9B7C-2B3C-4035-A4B0-2C7B8C10CB22}"/>
    <cellStyle name="Comma 4 2 4 7 4" xfId="20234" xr:uid="{96AE3061-8C11-411A-A473-99FED8F06774}"/>
    <cellStyle name="Comma 4 2 4 8" xfId="2369" xr:uid="{00000000-0005-0000-0000-0000DF080000}"/>
    <cellStyle name="Comma 4 2 4 9" xfId="2772" xr:uid="{00000000-0005-0000-0000-0000E0080000}"/>
    <cellStyle name="Comma 4 2 4 9 2" xfId="6995" xr:uid="{00000000-0005-0000-0000-0000E1080000}"/>
    <cellStyle name="Comma 4 2 4 9 2 2" xfId="16321" xr:uid="{68A3987D-7518-4F37-BA67-A8FA6961F4DC}"/>
    <cellStyle name="Comma 4 2 4 9 2 3" xfId="24768" xr:uid="{EA9F8853-3066-4BC3-8BFD-8FCDAB785488}"/>
    <cellStyle name="Comma 4 2 4 9 3" xfId="12104" xr:uid="{3CBD547D-53F8-4CBA-87F2-3D833D3EACFC}"/>
    <cellStyle name="Comma 4 2 4 9 4" xfId="20551" xr:uid="{2B1800A2-EEC7-4833-AD9A-D3F8D7908BAB}"/>
    <cellStyle name="Comma 4 2 5" xfId="142" xr:uid="{00000000-0005-0000-0000-0000E2080000}"/>
    <cellStyle name="Comma 4 2 5 10" xfId="8974" xr:uid="{86B0C89A-8A2D-4755-B15D-84E412E1D380}"/>
    <cellStyle name="Comma 4 2 5 11" xfId="9723" xr:uid="{37EA6166-1B80-48CB-B02A-F6C7C0BB8081}"/>
    <cellStyle name="Comma 4 2 5 12" xfId="18170" xr:uid="{13FEEEEC-EB9C-42A3-8AB6-BDF656430E2B}"/>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4EF85212-4445-486A-8CBD-043DB043CA2F}"/>
    <cellStyle name="Comma 4 2 5 2 2 2 3" xfId="24946" xr:uid="{5A1E4B04-57B8-435B-B433-4E6FB77DB4C1}"/>
    <cellStyle name="Comma 4 2 5 2 2 3" xfId="12282" xr:uid="{D03AB3F4-8E1E-41EC-8434-7309DECA001B}"/>
    <cellStyle name="Comma 4 2 5 2 2 4" xfId="20729" xr:uid="{15B7A149-BF15-4EA2-AE1B-3A26376BDF7D}"/>
    <cellStyle name="Comma 4 2 5 2 3" xfId="5028" xr:uid="{00000000-0005-0000-0000-0000E6080000}"/>
    <cellStyle name="Comma 4 2 5 2 3 2" xfId="14354" xr:uid="{1189CF2C-2743-4C7B-826C-3DA4FEDD6794}"/>
    <cellStyle name="Comma 4 2 5 2 3 3" xfId="22801" xr:uid="{D3972284-79FA-4663-AEE6-B465A9DEBD6C}"/>
    <cellStyle name="Comma 4 2 5 2 4" xfId="9399" xr:uid="{1B388BC7-1FC6-4DC3-B345-755F61B57864}"/>
    <cellStyle name="Comma 4 2 5 2 5" xfId="10137" xr:uid="{298A72B3-3F55-4E2A-A6CE-E86CF3B021D2}"/>
    <cellStyle name="Comma 4 2 5 2 6" xfId="18584" xr:uid="{D6A21D4E-BEE0-4702-8201-4F2F90EFE2E0}"/>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ACF13DA9-802D-4194-9DD2-CF352F1610EC}"/>
    <cellStyle name="Comma 4 2 5 3 2 2 3" xfId="25359" xr:uid="{50A59AF2-5FF2-4B05-888F-8DBD6622AFE7}"/>
    <cellStyle name="Comma 4 2 5 3 2 3" xfId="12695" xr:uid="{BD3C2DC7-0FEB-41F3-94EF-41AAAEE03F1C}"/>
    <cellStyle name="Comma 4 2 5 3 2 4" xfId="21142" xr:uid="{A35D0DD5-5C4B-4945-ACA8-E5D6D530BDED}"/>
    <cellStyle name="Comma 4 2 5 3 3" xfId="5441" xr:uid="{00000000-0005-0000-0000-0000EA080000}"/>
    <cellStyle name="Comma 4 2 5 3 3 2" xfId="14767" xr:uid="{B85314FB-C821-4400-AAD8-2AA04A811B9D}"/>
    <cellStyle name="Comma 4 2 5 3 3 3" xfId="23214" xr:uid="{EF6E14B4-4C68-44C1-BE0E-8172E7FF77CD}"/>
    <cellStyle name="Comma 4 2 5 3 4" xfId="10550" xr:uid="{0121EACD-35A2-4ABD-9146-573CB8EEFA4B}"/>
    <cellStyle name="Comma 4 2 5 3 5" xfId="18997" xr:uid="{79D94066-AD95-4454-8131-56BBF6E62F59}"/>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F90BDA2A-2E07-48DD-87E5-BCBE0AD38C98}"/>
    <cellStyle name="Comma 4 2 5 4 2 2 3" xfId="25772" xr:uid="{FB98B885-AED9-4AEE-BFA5-493344341AA2}"/>
    <cellStyle name="Comma 4 2 5 4 2 3" xfId="13108" xr:uid="{82061F63-26C2-4747-B3BE-A67FC850D6B6}"/>
    <cellStyle name="Comma 4 2 5 4 2 4" xfId="21555" xr:uid="{339FC03C-B3D5-488D-BCA1-9B2D0CAD4661}"/>
    <cellStyle name="Comma 4 2 5 4 3" xfId="5854" xr:uid="{00000000-0005-0000-0000-0000EE080000}"/>
    <cellStyle name="Comma 4 2 5 4 3 2" xfId="15180" xr:uid="{E236EBD7-F157-41B9-9EAF-805269B4E3B5}"/>
    <cellStyle name="Comma 4 2 5 4 3 3" xfId="23627" xr:uid="{53743887-9DB6-4735-A6F6-1900CCFA0098}"/>
    <cellStyle name="Comma 4 2 5 4 4" xfId="10963" xr:uid="{3FF64845-AC19-4104-B7AA-FA5BC428E557}"/>
    <cellStyle name="Comma 4 2 5 4 5" xfId="19410" xr:uid="{0371F74E-8D9C-4BCB-B913-E9CF90BA2B26}"/>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9D7FD51A-3EB3-4CE4-B19F-E03B671CE6E0}"/>
    <cellStyle name="Comma 4 2 5 5 2 2 3" xfId="26185" xr:uid="{F96561B0-F6D8-4508-8A6C-9750153D758D}"/>
    <cellStyle name="Comma 4 2 5 5 2 3" xfId="13521" xr:uid="{046E1FEC-3B4E-454F-9351-5CCB3A84EB09}"/>
    <cellStyle name="Comma 4 2 5 5 2 4" xfId="21968" xr:uid="{D4F47890-E271-4E9D-85A7-DF929D6BD314}"/>
    <cellStyle name="Comma 4 2 5 5 3" xfId="6267" xr:uid="{00000000-0005-0000-0000-0000F2080000}"/>
    <cellStyle name="Comma 4 2 5 5 3 2" xfId="15593" xr:uid="{E2DD31D9-960B-4569-A52B-27E96FF67DDF}"/>
    <cellStyle name="Comma 4 2 5 5 3 3" xfId="24040" xr:uid="{3DDFF196-EC83-4382-8543-5F54E637489A}"/>
    <cellStyle name="Comma 4 2 5 5 4" xfId="11376" xr:uid="{7D54BAFF-F1BC-4ACA-9402-7CFA170158D0}"/>
    <cellStyle name="Comma 4 2 5 5 5" xfId="19823" xr:uid="{B8934360-9E24-4F67-8AD9-DBA240F55EC4}"/>
    <cellStyle name="Comma 4 2 5 6" xfId="2396" xr:uid="{00000000-0005-0000-0000-0000F3080000}"/>
    <cellStyle name="Comma 4 2 5 6 2" xfId="6680" xr:uid="{00000000-0005-0000-0000-0000F4080000}"/>
    <cellStyle name="Comma 4 2 5 6 2 2" xfId="16006" xr:uid="{E918368B-497B-4534-92D4-4C18951DC9DE}"/>
    <cellStyle name="Comma 4 2 5 6 2 3" xfId="24453" xr:uid="{C924637F-BC84-4CC5-96CF-C2DA48451C8F}"/>
    <cellStyle name="Comma 4 2 5 6 3" xfId="11789" xr:uid="{F2132D00-0499-4FC4-ACE1-942E2AC9C65A}"/>
    <cellStyle name="Comma 4 2 5 6 4" xfId="20236" xr:uid="{56D851A4-E844-4146-9F1C-950C5AD0D0B0}"/>
    <cellStyle name="Comma 4 2 5 7" xfId="2367" xr:uid="{00000000-0005-0000-0000-0000F5080000}"/>
    <cellStyle name="Comma 4 2 5 8" xfId="2774" xr:uid="{00000000-0005-0000-0000-0000F6080000}"/>
    <cellStyle name="Comma 4 2 5 8 2" xfId="6997" xr:uid="{00000000-0005-0000-0000-0000F7080000}"/>
    <cellStyle name="Comma 4 2 5 8 2 2" xfId="16323" xr:uid="{55591B19-B74A-4DB1-A878-754922D36786}"/>
    <cellStyle name="Comma 4 2 5 8 2 3" xfId="24770" xr:uid="{A4739588-D6A3-464D-85D1-797725A65D89}"/>
    <cellStyle name="Comma 4 2 5 8 3" xfId="12106" xr:uid="{C0689553-6E70-4B9E-9E9C-B2CAC158E991}"/>
    <cellStyle name="Comma 4 2 5 8 4" xfId="20553" xr:uid="{B71EC283-50C3-4492-827C-D4825FC513DE}"/>
    <cellStyle name="Comma 4 2 5 9" xfId="4614" xr:uid="{00000000-0005-0000-0000-0000F8080000}"/>
    <cellStyle name="Comma 4 2 5 9 2" xfId="13940" xr:uid="{FF830C4D-4B9D-4D35-B59B-1D2B00789C94}"/>
    <cellStyle name="Comma 4 2 5 9 3" xfId="22387" xr:uid="{0600E132-65E8-4B9C-BC2B-105D0F2369B4}"/>
    <cellStyle name="Comma 4 2 6" xfId="143" xr:uid="{00000000-0005-0000-0000-0000F9080000}"/>
    <cellStyle name="Comma 4 2 6 10" xfId="9177" xr:uid="{A20A3B72-7630-464F-8E57-DA2B9D6E44FB}"/>
    <cellStyle name="Comma 4 2 6 11" xfId="9724" xr:uid="{1827255B-A7A1-4DB1-BA6F-86D1D8AA7947}"/>
    <cellStyle name="Comma 4 2 6 12" xfId="18171" xr:uid="{813A386A-2384-497A-BB24-BDACAF585715}"/>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33C088AB-F139-4793-99F0-F6E555CB9CBC}"/>
    <cellStyle name="Comma 4 2 6 2 2 2 3" xfId="24947" xr:uid="{CF78CD7C-FC71-40E8-ACD5-BEC18BEC677F}"/>
    <cellStyle name="Comma 4 2 6 2 2 3" xfId="12283" xr:uid="{8D3DC043-36BD-4A38-8610-C9BEA66569D0}"/>
    <cellStyle name="Comma 4 2 6 2 2 4" xfId="20730" xr:uid="{8E501CA1-6B3B-40B2-AC41-E3B3F7CAC3E7}"/>
    <cellStyle name="Comma 4 2 6 2 3" xfId="5029" xr:uid="{00000000-0005-0000-0000-0000FD080000}"/>
    <cellStyle name="Comma 4 2 6 2 3 2" xfId="14355" xr:uid="{39A53AC8-B482-4BF4-8E88-E54B1C335738}"/>
    <cellStyle name="Comma 4 2 6 2 3 3" xfId="22802" xr:uid="{2C26BFAE-D09E-4301-822E-1E38726E67DD}"/>
    <cellStyle name="Comma 4 2 6 2 4" xfId="9594" xr:uid="{CCB8D3FE-19FC-4F7F-9966-44FD23A1A32A}"/>
    <cellStyle name="Comma 4 2 6 2 5" xfId="10138" xr:uid="{1B3F3FE0-6653-46ED-9E2E-B25A1DEF0968}"/>
    <cellStyle name="Comma 4 2 6 2 6" xfId="18585" xr:uid="{6CA136A5-2215-491B-A0B1-1C2740F81A21}"/>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28E35523-17D5-412C-8AB2-61FA001F3DE1}"/>
    <cellStyle name="Comma 4 2 6 3 2 2 3" xfId="25360" xr:uid="{FA959FBB-B181-43C6-A6C3-D5EBF281771B}"/>
    <cellStyle name="Comma 4 2 6 3 2 3" xfId="12696" xr:uid="{F8396852-6290-4696-A360-FFAC374C35E6}"/>
    <cellStyle name="Comma 4 2 6 3 2 4" xfId="21143" xr:uid="{B340FBC5-9649-45C2-ACEF-43D7950C31A9}"/>
    <cellStyle name="Comma 4 2 6 3 3" xfId="5442" xr:uid="{00000000-0005-0000-0000-000001090000}"/>
    <cellStyle name="Comma 4 2 6 3 3 2" xfId="14768" xr:uid="{F54D809C-8F84-489F-B461-929D0CFE48F4}"/>
    <cellStyle name="Comma 4 2 6 3 3 3" xfId="23215" xr:uid="{449630CD-DB67-4ED7-BD70-890B18D972FC}"/>
    <cellStyle name="Comma 4 2 6 3 4" xfId="10551" xr:uid="{7309BB3F-D910-4A1A-B047-F015A6825570}"/>
    <cellStyle name="Comma 4 2 6 3 5" xfId="18998" xr:uid="{D35F7CBE-49A3-4C17-8C06-80DC22BCAFE3}"/>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48479118-7BB3-4A87-874F-F4082C111F2F}"/>
    <cellStyle name="Comma 4 2 6 4 2 2 3" xfId="25773" xr:uid="{1162B3F3-E6EB-4DB8-91E0-C4FDD8ADE835}"/>
    <cellStyle name="Comma 4 2 6 4 2 3" xfId="13109" xr:uid="{1325DCBD-7C88-426E-9BFB-AE3285A39B3F}"/>
    <cellStyle name="Comma 4 2 6 4 2 4" xfId="21556" xr:uid="{582303BC-8CC6-47C6-A87F-41606AD21D7D}"/>
    <cellStyle name="Comma 4 2 6 4 3" xfId="5855" xr:uid="{00000000-0005-0000-0000-000005090000}"/>
    <cellStyle name="Comma 4 2 6 4 3 2" xfId="15181" xr:uid="{B5514A1C-9DCA-43B5-AF23-8C83F1A99FA2}"/>
    <cellStyle name="Comma 4 2 6 4 3 3" xfId="23628" xr:uid="{2FDB98C1-1B63-4749-A9A2-8A245AFFE9B6}"/>
    <cellStyle name="Comma 4 2 6 4 4" xfId="10964" xr:uid="{FDE0CBE7-5BCD-4C2C-95ED-53A85776E468}"/>
    <cellStyle name="Comma 4 2 6 4 5" xfId="19411" xr:uid="{4E4D77DD-F40E-489C-99EE-DC197F84C3A2}"/>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56A1DE50-4F56-410C-99A1-CE218BA023E4}"/>
    <cellStyle name="Comma 4 2 6 5 2 2 3" xfId="26186" xr:uid="{A0A4FD09-5D9C-411B-A7CE-7C5BB5514568}"/>
    <cellStyle name="Comma 4 2 6 5 2 3" xfId="13522" xr:uid="{D6DB25D2-4B22-4D06-886C-9816E1AAFDCD}"/>
    <cellStyle name="Comma 4 2 6 5 2 4" xfId="21969" xr:uid="{45CF3330-825D-4823-ACB1-87C93849832A}"/>
    <cellStyle name="Comma 4 2 6 5 3" xfId="6268" xr:uid="{00000000-0005-0000-0000-000009090000}"/>
    <cellStyle name="Comma 4 2 6 5 3 2" xfId="15594" xr:uid="{D3F75863-13F7-4372-96D8-506F0FB98278}"/>
    <cellStyle name="Comma 4 2 6 5 3 3" xfId="24041" xr:uid="{0779FDF6-385E-4E4B-B652-7DB028E90038}"/>
    <cellStyle name="Comma 4 2 6 5 4" xfId="11377" xr:uid="{2C4BFA0A-06F8-430C-A710-D6DEA692D23D}"/>
    <cellStyle name="Comma 4 2 6 5 5" xfId="19824" xr:uid="{A7B7108D-2BB0-4594-87CE-D1B42618EAA5}"/>
    <cellStyle name="Comma 4 2 6 6" xfId="2397" xr:uid="{00000000-0005-0000-0000-00000A090000}"/>
    <cellStyle name="Comma 4 2 6 6 2" xfId="6681" xr:uid="{00000000-0005-0000-0000-00000B090000}"/>
    <cellStyle name="Comma 4 2 6 6 2 2" xfId="16007" xr:uid="{399FBA94-7AE9-4F8D-9587-527CA7B58AB3}"/>
    <cellStyle name="Comma 4 2 6 6 2 3" xfId="24454" xr:uid="{C359487F-DF6F-4A42-9D5F-5B97D71C557F}"/>
    <cellStyle name="Comma 4 2 6 6 3" xfId="11790" xr:uid="{83ECAB36-80EE-4407-B76A-9030F8FEE8B2}"/>
    <cellStyle name="Comma 4 2 6 6 4" xfId="20237" xr:uid="{F06E00A3-4D3F-49F4-ADAD-3E42DAC50B2B}"/>
    <cellStyle name="Comma 4 2 6 7" xfId="2366" xr:uid="{00000000-0005-0000-0000-00000C090000}"/>
    <cellStyle name="Comma 4 2 6 8" xfId="2775" xr:uid="{00000000-0005-0000-0000-00000D090000}"/>
    <cellStyle name="Comma 4 2 6 8 2" xfId="6998" xr:uid="{00000000-0005-0000-0000-00000E090000}"/>
    <cellStyle name="Comma 4 2 6 8 2 2" xfId="16324" xr:uid="{0C293E8A-D8A2-4619-BB5A-7BE5D528DF0F}"/>
    <cellStyle name="Comma 4 2 6 8 2 3" xfId="24771" xr:uid="{42C1089A-C643-40FA-B2E4-6C049AB348D0}"/>
    <cellStyle name="Comma 4 2 6 8 3" xfId="12107" xr:uid="{05EFF1F4-86FA-4C2B-8599-0BE840E30220}"/>
    <cellStyle name="Comma 4 2 6 8 4" xfId="20554" xr:uid="{DCFE83B2-A332-48F2-874C-6EBF22369A48}"/>
    <cellStyle name="Comma 4 2 6 9" xfId="4615" xr:uid="{00000000-0005-0000-0000-00000F090000}"/>
    <cellStyle name="Comma 4 2 6 9 2" xfId="13941" xr:uid="{E2D0AEBC-583B-4831-A715-7665E707D494}"/>
    <cellStyle name="Comma 4 2 6 9 3" xfId="22388" xr:uid="{D77A0717-9E85-4ABC-88EE-C91A0E36C7E6}"/>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3FBB0BAB-7E5B-45BA-9DD3-1F1CFA483F4D}"/>
    <cellStyle name="Comma 4 3 2 10 2 3" xfId="24772" xr:uid="{0BC8B0D9-204B-4CDA-B5FF-BC943EE8FF56}"/>
    <cellStyle name="Comma 4 3 2 10 3" xfId="12108" xr:uid="{8E1929E8-A521-4BFE-ADF4-85137936CE5F}"/>
    <cellStyle name="Comma 4 3 2 10 4" xfId="20555" xr:uid="{21EC526A-041B-4ABB-BCF9-7F6CF87AED5B}"/>
    <cellStyle name="Comma 4 3 2 11" xfId="4616" xr:uid="{00000000-0005-0000-0000-000014090000}"/>
    <cellStyle name="Comma 4 3 2 11 2" xfId="13942" xr:uid="{873917DA-0B7B-404C-B0E3-553C031587EE}"/>
    <cellStyle name="Comma 4 3 2 11 3" xfId="22389" xr:uid="{5DE79235-A057-448C-BC56-B15EF8A2D923}"/>
    <cellStyle name="Comma 4 3 2 12" xfId="8807" xr:uid="{5C5EF314-D0DB-425B-AE7D-D52FEEE90EC1}"/>
    <cellStyle name="Comma 4 3 2 13" xfId="9725" xr:uid="{8FE6A303-809B-4054-B179-958C1DF420B2}"/>
    <cellStyle name="Comma 4 3 2 14" xfId="18172" xr:uid="{EFA38905-4418-443F-87EC-AA5C3F290AED}"/>
    <cellStyle name="Comma 4 3 2 2" xfId="146" xr:uid="{00000000-0005-0000-0000-000015090000}"/>
    <cellStyle name="Comma 4 3 2 2 10" xfId="4617" xr:uid="{00000000-0005-0000-0000-000016090000}"/>
    <cellStyle name="Comma 4 3 2 2 10 2" xfId="13943" xr:uid="{2586830F-E6BA-4793-85FC-63DDDF672BCE}"/>
    <cellStyle name="Comma 4 3 2 2 10 3" xfId="22390" xr:uid="{5052BCAE-F505-427C-AD86-FE05D805508E}"/>
    <cellStyle name="Comma 4 3 2 2 11" xfId="8910" xr:uid="{15019DD0-71A0-438D-B796-68DE42B22692}"/>
    <cellStyle name="Comma 4 3 2 2 12" xfId="9726" xr:uid="{92F53D6C-ED72-492C-9CF1-09778EF0C4D5}"/>
    <cellStyle name="Comma 4 3 2 2 13" xfId="18173" xr:uid="{AA6977CE-B966-4038-BF4F-C05B03CF4679}"/>
    <cellStyle name="Comma 4 3 2 2 2" xfId="147" xr:uid="{00000000-0005-0000-0000-000017090000}"/>
    <cellStyle name="Comma 4 3 2 2 2 10" xfId="9117" xr:uid="{1409F531-DBF2-41E0-9C74-F9317358BA15}"/>
    <cellStyle name="Comma 4 3 2 2 2 11" xfId="9727" xr:uid="{06D3C2EC-6159-4431-B8E2-3FC99CF48B48}"/>
    <cellStyle name="Comma 4 3 2 2 2 12" xfId="18174" xr:uid="{22CA6EEE-24CE-4DE2-B5F0-8061B87C67C2}"/>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234D3074-8EE5-4AD6-B232-72B668AC47D1}"/>
    <cellStyle name="Comma 4 3 2 2 2 2 2 2 3" xfId="24950" xr:uid="{F3EDB34B-E6DE-47D3-9D75-E212461CA8F3}"/>
    <cellStyle name="Comma 4 3 2 2 2 2 2 3" xfId="12286" xr:uid="{D237E00B-88D3-4B3A-B83D-2D9979685032}"/>
    <cellStyle name="Comma 4 3 2 2 2 2 2 4" xfId="20733" xr:uid="{5D0D3AC2-0953-4094-89D7-B7104084E459}"/>
    <cellStyle name="Comma 4 3 2 2 2 2 3" xfId="5032" xr:uid="{00000000-0005-0000-0000-00001B090000}"/>
    <cellStyle name="Comma 4 3 2 2 2 2 3 2" xfId="14358" xr:uid="{46ADE0AC-1E56-4C67-A367-D1916F6475A7}"/>
    <cellStyle name="Comma 4 3 2 2 2 2 3 3" xfId="22805" xr:uid="{B3015A90-0F38-45F0-8F2A-4859398D0F68}"/>
    <cellStyle name="Comma 4 3 2 2 2 2 4" xfId="9542" xr:uid="{26CD77CC-F017-4839-8245-BBF245D45E53}"/>
    <cellStyle name="Comma 4 3 2 2 2 2 5" xfId="10141" xr:uid="{F680445E-4894-4120-9C9C-36A7FE7F7E2E}"/>
    <cellStyle name="Comma 4 3 2 2 2 2 6" xfId="18588" xr:uid="{595AAB25-A420-44A3-AD63-FF47AC520DD7}"/>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B453CF5D-FA19-40E4-9459-E64B51EEF3CB}"/>
    <cellStyle name="Comma 4 3 2 2 2 3 2 2 3" xfId="25363" xr:uid="{E8A92851-73E1-4B58-B77C-7AA6D09C4A89}"/>
    <cellStyle name="Comma 4 3 2 2 2 3 2 3" xfId="12699" xr:uid="{15ED6231-9743-4C08-99DD-4E856F12B3A4}"/>
    <cellStyle name="Comma 4 3 2 2 2 3 2 4" xfId="21146" xr:uid="{6448D94A-53BA-4503-9B7B-093A1A876B74}"/>
    <cellStyle name="Comma 4 3 2 2 2 3 3" xfId="5445" xr:uid="{00000000-0005-0000-0000-00001F090000}"/>
    <cellStyle name="Comma 4 3 2 2 2 3 3 2" xfId="14771" xr:uid="{73EBC5E3-42CA-4CBC-BE49-4EB3E917D9EC}"/>
    <cellStyle name="Comma 4 3 2 2 2 3 3 3" xfId="23218" xr:uid="{C99EFA33-B2B3-466F-B7D1-C0A0CFE163CA}"/>
    <cellStyle name="Comma 4 3 2 2 2 3 4" xfId="10554" xr:uid="{EBAF732A-4249-46B3-B16B-AD2BF38136D8}"/>
    <cellStyle name="Comma 4 3 2 2 2 3 5" xfId="19001" xr:uid="{B2B04D9D-4579-47AB-994B-39C3AC76A321}"/>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2F7C5E66-FD07-4CC2-B291-F6CAFEE609EA}"/>
    <cellStyle name="Comma 4 3 2 2 2 4 2 2 3" xfId="25776" xr:uid="{99F8E7E7-E957-47CC-AD3F-CF8AD0A05EA5}"/>
    <cellStyle name="Comma 4 3 2 2 2 4 2 3" xfId="13112" xr:uid="{583CBA6B-B796-42DC-9029-859C054276CD}"/>
    <cellStyle name="Comma 4 3 2 2 2 4 2 4" xfId="21559" xr:uid="{E381DAD9-9CC5-4422-80DE-8BCAE7CA6C2F}"/>
    <cellStyle name="Comma 4 3 2 2 2 4 3" xfId="5858" xr:uid="{00000000-0005-0000-0000-000023090000}"/>
    <cellStyle name="Comma 4 3 2 2 2 4 3 2" xfId="15184" xr:uid="{D82B1E28-A718-4B47-B899-F80BCF869E99}"/>
    <cellStyle name="Comma 4 3 2 2 2 4 3 3" xfId="23631" xr:uid="{EBE6F4A0-421E-49DE-9D6E-0D4C57C799E1}"/>
    <cellStyle name="Comma 4 3 2 2 2 4 4" xfId="10967" xr:uid="{47D0CBB6-17ED-44D7-BDE6-68319C9C4191}"/>
    <cellStyle name="Comma 4 3 2 2 2 4 5" xfId="19414" xr:uid="{E5DCE844-D4BB-40F7-AD7B-53E29B75A7E0}"/>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EE4A5106-C301-4536-BA3B-97FDA87D2AE2}"/>
    <cellStyle name="Comma 4 3 2 2 2 5 2 2 3" xfId="26189" xr:uid="{DB49A3D2-362C-43B0-BE18-5B5718CE7E39}"/>
    <cellStyle name="Comma 4 3 2 2 2 5 2 3" xfId="13525" xr:uid="{8958A972-163A-4DC3-88A1-40B6CB97BC98}"/>
    <cellStyle name="Comma 4 3 2 2 2 5 2 4" xfId="21972" xr:uid="{BBFA945F-B8FC-4154-93A1-2F838C3DB6C6}"/>
    <cellStyle name="Comma 4 3 2 2 2 5 3" xfId="6271" xr:uid="{00000000-0005-0000-0000-000027090000}"/>
    <cellStyle name="Comma 4 3 2 2 2 5 3 2" xfId="15597" xr:uid="{0A236EC6-C0C0-44BE-A9B6-5B0E77A8A34E}"/>
    <cellStyle name="Comma 4 3 2 2 2 5 3 3" xfId="24044" xr:uid="{41F07C91-D11E-4CEF-9535-2EE8A9151C0D}"/>
    <cellStyle name="Comma 4 3 2 2 2 5 4" xfId="11380" xr:uid="{616DDAF3-F3A4-491D-B046-44407877C16D}"/>
    <cellStyle name="Comma 4 3 2 2 2 5 5" xfId="19827" xr:uid="{1C380315-F439-4403-A425-BBD058257E37}"/>
    <cellStyle name="Comma 4 3 2 2 2 6" xfId="2400" xr:uid="{00000000-0005-0000-0000-000028090000}"/>
    <cellStyle name="Comma 4 3 2 2 2 6 2" xfId="6684" xr:uid="{00000000-0005-0000-0000-000029090000}"/>
    <cellStyle name="Comma 4 3 2 2 2 6 2 2" xfId="16010" xr:uid="{35E9AC73-DB55-42BA-BE6A-9F43F9D185F6}"/>
    <cellStyle name="Comma 4 3 2 2 2 6 2 3" xfId="24457" xr:uid="{0411ABBC-2E13-4A97-B05D-B860C38B279F}"/>
    <cellStyle name="Comma 4 3 2 2 2 6 3" xfId="11793" xr:uid="{E61ED9EB-3971-4FC3-AA60-72EC9AC9E8D4}"/>
    <cellStyle name="Comma 4 3 2 2 2 6 4" xfId="20240" xr:uid="{F60A288C-41B2-4E86-9022-371AC85A6773}"/>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8ED0B6B5-80CC-4EBB-9FE4-55DE41BBD008}"/>
    <cellStyle name="Comma 4 3 2 2 2 8 2 3" xfId="24774" xr:uid="{10BD5F55-FA37-4AD2-8BF1-78F92D81FBD5}"/>
    <cellStyle name="Comma 4 3 2 2 2 8 3" xfId="12110" xr:uid="{EFDB5AAD-EC98-47D9-B2D6-D1E34D8A5ECC}"/>
    <cellStyle name="Comma 4 3 2 2 2 8 4" xfId="20557" xr:uid="{7EE59D7F-6486-4583-9183-DA497A998A71}"/>
    <cellStyle name="Comma 4 3 2 2 2 9" xfId="4618" xr:uid="{00000000-0005-0000-0000-00002D090000}"/>
    <cellStyle name="Comma 4 3 2 2 2 9 2" xfId="13944" xr:uid="{1AE31170-2422-46FF-826C-61FAE75140BE}"/>
    <cellStyle name="Comma 4 3 2 2 2 9 3" xfId="22391" xr:uid="{91129234-4D3D-4A83-B09B-FE150CF0FBDE}"/>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4C143270-1373-4CBC-9341-C36115A33840}"/>
    <cellStyle name="Comma 4 3 2 2 3 2 2 3" xfId="24949" xr:uid="{90984264-AB66-4CC6-95D1-9C3093F3F9C5}"/>
    <cellStyle name="Comma 4 3 2 2 3 2 3" xfId="12285" xr:uid="{0A80739D-22E8-4BE4-8B0A-24A65DCC2EBD}"/>
    <cellStyle name="Comma 4 3 2 2 3 2 4" xfId="20732" xr:uid="{BB00BC41-4072-4687-A17D-C871C7E02333}"/>
    <cellStyle name="Comma 4 3 2 2 3 3" xfId="5031" xr:uid="{00000000-0005-0000-0000-000031090000}"/>
    <cellStyle name="Comma 4 3 2 2 3 3 2" xfId="14357" xr:uid="{FA3E7BE3-B05D-42FF-8156-558C3AF48AF4}"/>
    <cellStyle name="Comma 4 3 2 2 3 3 3" xfId="22804" xr:uid="{A8519E4F-1032-45F3-91E6-1572ACB4BBC8}"/>
    <cellStyle name="Comma 4 3 2 2 3 4" xfId="9335" xr:uid="{BACD532B-C811-4076-B107-03E74D1B7113}"/>
    <cellStyle name="Comma 4 3 2 2 3 5" xfId="10140" xr:uid="{E96C4943-9804-4CCD-BA44-C29DE38CCA19}"/>
    <cellStyle name="Comma 4 3 2 2 3 6" xfId="18587" xr:uid="{C570A7AD-4F1D-4980-9C1F-907F8FA42028}"/>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8E5267C0-0150-471D-B017-8E8720DCF73A}"/>
    <cellStyle name="Comma 4 3 2 2 4 2 2 3" xfId="25362" xr:uid="{F704128F-AC0E-40AE-BAEC-0C6322B2DE70}"/>
    <cellStyle name="Comma 4 3 2 2 4 2 3" xfId="12698" xr:uid="{6730906A-615B-4A43-875B-23FD308D83F0}"/>
    <cellStyle name="Comma 4 3 2 2 4 2 4" xfId="21145" xr:uid="{6EFAB304-7F06-41D6-88FC-6F4E882DB567}"/>
    <cellStyle name="Comma 4 3 2 2 4 3" xfId="5444" xr:uid="{00000000-0005-0000-0000-000035090000}"/>
    <cellStyle name="Comma 4 3 2 2 4 3 2" xfId="14770" xr:uid="{EE41ACC9-4844-45E7-B0BF-196257C42B25}"/>
    <cellStyle name="Comma 4 3 2 2 4 3 3" xfId="23217" xr:uid="{B0AC3731-241A-4BF4-83A6-D0DEA2616082}"/>
    <cellStyle name="Comma 4 3 2 2 4 4" xfId="10553" xr:uid="{A2E9DFE3-4FFC-4E9D-AFAB-A400F4A425CB}"/>
    <cellStyle name="Comma 4 3 2 2 4 5" xfId="19000" xr:uid="{A660A555-5BA7-4B48-B255-B276BC291FA1}"/>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7603EF06-A989-45F3-AB4B-B0C948E4CC1F}"/>
    <cellStyle name="Comma 4 3 2 2 5 2 2 3" xfId="25775" xr:uid="{DA094F31-D369-434F-98B0-969F9CC858FD}"/>
    <cellStyle name="Comma 4 3 2 2 5 2 3" xfId="13111" xr:uid="{B20BBDBD-F0F9-4EDB-8B1A-AAF15BA6D030}"/>
    <cellStyle name="Comma 4 3 2 2 5 2 4" xfId="21558" xr:uid="{B090C486-41EE-4BC4-910F-2D6BEF7A2261}"/>
    <cellStyle name="Comma 4 3 2 2 5 3" xfId="5857" xr:uid="{00000000-0005-0000-0000-000039090000}"/>
    <cellStyle name="Comma 4 3 2 2 5 3 2" xfId="15183" xr:uid="{83BF9348-EFFD-4F33-AC92-B78BA5CBB583}"/>
    <cellStyle name="Comma 4 3 2 2 5 3 3" xfId="23630" xr:uid="{27E32240-DAB7-4741-9A00-809223FB89E4}"/>
    <cellStyle name="Comma 4 3 2 2 5 4" xfId="10966" xr:uid="{BDDF2A26-B5D3-4A34-B476-D577F497D8A6}"/>
    <cellStyle name="Comma 4 3 2 2 5 5" xfId="19413" xr:uid="{74D76401-4724-4A36-95A3-A6F2A6DD2E24}"/>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8CC60EA6-2F3C-492B-9492-C0F0C320987C}"/>
    <cellStyle name="Comma 4 3 2 2 6 2 2 3" xfId="26188" xr:uid="{99C3E67A-F65D-4FC6-B624-2059BB5D6B65}"/>
    <cellStyle name="Comma 4 3 2 2 6 2 3" xfId="13524" xr:uid="{07E1FD09-57BE-4500-9806-80276CBAB31A}"/>
    <cellStyle name="Comma 4 3 2 2 6 2 4" xfId="21971" xr:uid="{9DEF0386-9F36-4A4B-8018-C0781C93839E}"/>
    <cellStyle name="Comma 4 3 2 2 6 3" xfId="6270" xr:uid="{00000000-0005-0000-0000-00003D090000}"/>
    <cellStyle name="Comma 4 3 2 2 6 3 2" xfId="15596" xr:uid="{9A6674DC-B5B7-468C-A8F8-39D4BB19389E}"/>
    <cellStyle name="Comma 4 3 2 2 6 3 3" xfId="24043" xr:uid="{E643F9F6-62CC-4991-91D7-561F926217DC}"/>
    <cellStyle name="Comma 4 3 2 2 6 4" xfId="11379" xr:uid="{C45D982C-5AFA-402A-8B05-12D9B1F3C1BC}"/>
    <cellStyle name="Comma 4 3 2 2 6 5" xfId="19826" xr:uid="{1F008C45-D7C9-474A-A8E3-96D85A5468E8}"/>
    <cellStyle name="Comma 4 3 2 2 7" xfId="2399" xr:uid="{00000000-0005-0000-0000-00003E090000}"/>
    <cellStyle name="Comma 4 3 2 2 7 2" xfId="6683" xr:uid="{00000000-0005-0000-0000-00003F090000}"/>
    <cellStyle name="Comma 4 3 2 2 7 2 2" xfId="16009" xr:uid="{C104575B-FDF4-4683-9247-33AA84BD795B}"/>
    <cellStyle name="Comma 4 3 2 2 7 2 3" xfId="24456" xr:uid="{8FEBC561-0EA7-45ED-A3AA-FE000B695014}"/>
    <cellStyle name="Comma 4 3 2 2 7 3" xfId="11792" xr:uid="{D5947BBB-6843-4D85-AACB-092F0C2D1856}"/>
    <cellStyle name="Comma 4 3 2 2 7 4" xfId="20239" xr:uid="{2058F489-5253-4FC2-8BE8-48E13F665481}"/>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05808AC6-FC45-47B2-9E9E-761DBBA02DCE}"/>
    <cellStyle name="Comma 4 3 2 2 9 2 3" xfId="24773" xr:uid="{BEDF607F-5159-4DA7-88BD-390074E559CE}"/>
    <cellStyle name="Comma 4 3 2 2 9 3" xfId="12109" xr:uid="{B6CE87D2-EFE8-4BB6-ACD1-A95A95360EC6}"/>
    <cellStyle name="Comma 4 3 2 2 9 4" xfId="20556" xr:uid="{F24FE6B4-FB57-4B8D-B34D-0FAA73EF6F97}"/>
    <cellStyle name="Comma 4 3 2 3" xfId="148" xr:uid="{00000000-0005-0000-0000-000043090000}"/>
    <cellStyle name="Comma 4 3 2 3 10" xfId="9014" xr:uid="{46568903-2C47-4BC3-8E78-5A47F62B319C}"/>
    <cellStyle name="Comma 4 3 2 3 11" xfId="9728" xr:uid="{68BB9EB3-49BD-4C11-9F64-9A33876DCC13}"/>
    <cellStyle name="Comma 4 3 2 3 12" xfId="18175" xr:uid="{5F2B04F5-F530-41FD-8B44-A61A5A88FE63}"/>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48A73408-603D-4271-AD2F-0ACB77D7E03C}"/>
    <cellStyle name="Comma 4 3 2 3 2 2 2 3" xfId="24951" xr:uid="{0FD2BEFE-CE0D-4FA2-B5F9-2249B169B0FB}"/>
    <cellStyle name="Comma 4 3 2 3 2 2 3" xfId="12287" xr:uid="{3F3D5940-7A4D-4C58-8ECF-9E3818A6D150}"/>
    <cellStyle name="Comma 4 3 2 3 2 2 4" xfId="20734" xr:uid="{AE85D3CE-7F70-4CB3-855B-BC656942AE69}"/>
    <cellStyle name="Comma 4 3 2 3 2 3" xfId="5033" xr:uid="{00000000-0005-0000-0000-000047090000}"/>
    <cellStyle name="Comma 4 3 2 3 2 3 2" xfId="14359" xr:uid="{1AB05378-1CED-4AF9-9F0E-9AA9F588D911}"/>
    <cellStyle name="Comma 4 3 2 3 2 3 3" xfId="22806" xr:uid="{5679E501-B603-4A66-A27A-7ACEB6AB5272}"/>
    <cellStyle name="Comma 4 3 2 3 2 4" xfId="9439" xr:uid="{2FD116B5-6902-4630-AFC5-CC8B06C5F457}"/>
    <cellStyle name="Comma 4 3 2 3 2 5" xfId="10142" xr:uid="{33BAD1E1-789A-4FAE-AFC1-AF0AF5FC5675}"/>
    <cellStyle name="Comma 4 3 2 3 2 6" xfId="18589" xr:uid="{1B49996A-9106-434C-B969-0031FB686A8A}"/>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8CF4C547-37D1-498E-A2BE-0E27C1836A10}"/>
    <cellStyle name="Comma 4 3 2 3 3 2 2 3" xfId="25364" xr:uid="{A5A4E4A9-CC35-4E16-9557-0751003D9822}"/>
    <cellStyle name="Comma 4 3 2 3 3 2 3" xfId="12700" xr:uid="{7A4120A8-ED57-4B64-B7F3-27A26D04F279}"/>
    <cellStyle name="Comma 4 3 2 3 3 2 4" xfId="21147" xr:uid="{70C639F9-C736-4F57-BCD7-9DD57BE4541F}"/>
    <cellStyle name="Comma 4 3 2 3 3 3" xfId="5446" xr:uid="{00000000-0005-0000-0000-00004B090000}"/>
    <cellStyle name="Comma 4 3 2 3 3 3 2" xfId="14772" xr:uid="{F18E77B1-0FF4-41C8-A3F1-6C7D1C32B96D}"/>
    <cellStyle name="Comma 4 3 2 3 3 3 3" xfId="23219" xr:uid="{C7009A38-6694-45EC-AA0C-8980358109F1}"/>
    <cellStyle name="Comma 4 3 2 3 3 4" xfId="10555" xr:uid="{4E5A37F2-7ADE-4218-A7E2-28ED5F993251}"/>
    <cellStyle name="Comma 4 3 2 3 3 5" xfId="19002" xr:uid="{D45E10F7-1A54-4578-9347-7793D2A95858}"/>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39B277AF-5F10-4197-A2F1-87CB93912F71}"/>
    <cellStyle name="Comma 4 3 2 3 4 2 2 3" xfId="25777" xr:uid="{14764D30-134C-4278-9D9D-A86E7F11E6A3}"/>
    <cellStyle name="Comma 4 3 2 3 4 2 3" xfId="13113" xr:uid="{D84F3687-FE73-4AFE-9F23-2B1E6E75075A}"/>
    <cellStyle name="Comma 4 3 2 3 4 2 4" xfId="21560" xr:uid="{59161A1D-0E54-4627-BD1B-2C63A62AF6E3}"/>
    <cellStyle name="Comma 4 3 2 3 4 3" xfId="5859" xr:uid="{00000000-0005-0000-0000-00004F090000}"/>
    <cellStyle name="Comma 4 3 2 3 4 3 2" xfId="15185" xr:uid="{FA196A13-9526-4DCB-A237-4F5480750DD0}"/>
    <cellStyle name="Comma 4 3 2 3 4 3 3" xfId="23632" xr:uid="{32930BC8-49C0-44A9-80B7-8CF5BD282F6D}"/>
    <cellStyle name="Comma 4 3 2 3 4 4" xfId="10968" xr:uid="{663F27A7-20C2-48A3-B60C-20760337D801}"/>
    <cellStyle name="Comma 4 3 2 3 4 5" xfId="19415" xr:uid="{E9D84DCD-375F-4983-9CDC-FCA4AF43D393}"/>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DDF11128-E288-4AC6-AEF0-DE8CF0E06565}"/>
    <cellStyle name="Comma 4 3 2 3 5 2 2 3" xfId="26190" xr:uid="{EB38682F-5981-4FDA-ABA4-DE2931FF6086}"/>
    <cellStyle name="Comma 4 3 2 3 5 2 3" xfId="13526" xr:uid="{5A412D3F-44DE-45F2-9885-6C77345CAAAA}"/>
    <cellStyle name="Comma 4 3 2 3 5 2 4" xfId="21973" xr:uid="{A83B9A6A-6222-4D95-A004-C18066E1402B}"/>
    <cellStyle name="Comma 4 3 2 3 5 3" xfId="6272" xr:uid="{00000000-0005-0000-0000-000053090000}"/>
    <cellStyle name="Comma 4 3 2 3 5 3 2" xfId="15598" xr:uid="{BAB74974-21DF-45B8-9E20-3E76D2DC12FA}"/>
    <cellStyle name="Comma 4 3 2 3 5 3 3" xfId="24045" xr:uid="{6D77B336-22D7-49A9-9648-AC3994D10CCF}"/>
    <cellStyle name="Comma 4 3 2 3 5 4" xfId="11381" xr:uid="{7968BC52-9F2D-40DF-8C30-582CFB0CA8B2}"/>
    <cellStyle name="Comma 4 3 2 3 5 5" xfId="19828" xr:uid="{672027FD-99A4-4849-A94F-EB4B0B79C77D}"/>
    <cellStyle name="Comma 4 3 2 3 6" xfId="2401" xr:uid="{00000000-0005-0000-0000-000054090000}"/>
    <cellStyle name="Comma 4 3 2 3 6 2" xfId="6685" xr:uid="{00000000-0005-0000-0000-000055090000}"/>
    <cellStyle name="Comma 4 3 2 3 6 2 2" xfId="16011" xr:uid="{352E65FD-E4E5-4E79-B74D-F4F5508D5FA0}"/>
    <cellStyle name="Comma 4 3 2 3 6 2 3" xfId="24458" xr:uid="{AFA445CA-299C-4036-85DF-D10B4B1644BB}"/>
    <cellStyle name="Comma 4 3 2 3 6 3" xfId="11794" xr:uid="{EF1D1334-0905-4134-B0EE-0655EFB3B00E}"/>
    <cellStyle name="Comma 4 3 2 3 6 4" xfId="20241" xr:uid="{2A5D19CE-3DF4-495D-A415-FC82C6375081}"/>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189D1D32-8EC4-4517-9C40-BFD29CEC2E2A}"/>
    <cellStyle name="Comma 4 3 2 3 8 2 3" xfId="24775" xr:uid="{E31809C8-4448-40BA-9D1D-8488DB2CB144}"/>
    <cellStyle name="Comma 4 3 2 3 8 3" xfId="12111" xr:uid="{3253C158-642A-4B40-B9BC-DB07B1ECAD5B}"/>
    <cellStyle name="Comma 4 3 2 3 8 4" xfId="20558" xr:uid="{572E2259-76D2-41C8-816F-FD81F71802B9}"/>
    <cellStyle name="Comma 4 3 2 3 9" xfId="4619" xr:uid="{00000000-0005-0000-0000-000059090000}"/>
    <cellStyle name="Comma 4 3 2 3 9 2" xfId="13945" xr:uid="{A4B64557-8FC7-4D19-804B-DB1104BC895F}"/>
    <cellStyle name="Comma 4 3 2 3 9 3" xfId="22392" xr:uid="{4428BB97-5236-4B4E-AF9D-71DBD2435ED2}"/>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104B6281-FEE7-499B-97C0-ECB8A95AE800}"/>
    <cellStyle name="Comma 4 3 2 4 2 2 3" xfId="24948" xr:uid="{F5B838AC-F45D-4C75-AF45-611A47277A5B}"/>
    <cellStyle name="Comma 4 3 2 4 2 3" xfId="12284" xr:uid="{C30B7138-9E52-4A42-B881-BC4868BFD217}"/>
    <cellStyle name="Comma 4 3 2 4 2 4" xfId="20731" xr:uid="{3AE47357-DD89-48DD-8431-FC79E8E2E262}"/>
    <cellStyle name="Comma 4 3 2 4 3" xfId="5030" xr:uid="{00000000-0005-0000-0000-00005D090000}"/>
    <cellStyle name="Comma 4 3 2 4 3 2" xfId="14356" xr:uid="{1532B5CC-941D-48FB-8358-8FF1D8CF8562}"/>
    <cellStyle name="Comma 4 3 2 4 3 3" xfId="22803" xr:uid="{A93763FD-BD58-423D-94B1-AA58CB807B32}"/>
    <cellStyle name="Comma 4 3 2 4 4" xfId="9232" xr:uid="{8193451B-D8F0-40BD-91ED-34E7041117F6}"/>
    <cellStyle name="Comma 4 3 2 4 5" xfId="10139" xr:uid="{28B0E437-B7E0-4B52-A6B5-D1A4B5A36FCC}"/>
    <cellStyle name="Comma 4 3 2 4 6" xfId="18586" xr:uid="{CCE8E225-FEC6-4CA8-B35D-E9530C813BE1}"/>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EB932BF6-C161-409D-9E32-9E8F9B008E16}"/>
    <cellStyle name="Comma 4 3 2 5 2 2 3" xfId="25361" xr:uid="{87461C70-670F-45A9-9B3A-FA5EAE13E552}"/>
    <cellStyle name="Comma 4 3 2 5 2 3" xfId="12697" xr:uid="{4513353C-BADA-450B-AA57-310F1EC64269}"/>
    <cellStyle name="Comma 4 3 2 5 2 4" xfId="21144" xr:uid="{F68D9CC1-D52E-4DA9-B95A-23FF591DB548}"/>
    <cellStyle name="Comma 4 3 2 5 3" xfId="5443" xr:uid="{00000000-0005-0000-0000-000061090000}"/>
    <cellStyle name="Comma 4 3 2 5 3 2" xfId="14769" xr:uid="{28054A76-AA9D-4F9B-8291-F13EE38F883E}"/>
    <cellStyle name="Comma 4 3 2 5 3 3" xfId="23216" xr:uid="{547AF138-C6D2-4E32-8BF0-A14AB0C644DE}"/>
    <cellStyle name="Comma 4 3 2 5 4" xfId="10552" xr:uid="{812BFA3D-3553-41C1-8CEA-D4F073C68BCF}"/>
    <cellStyle name="Comma 4 3 2 5 5" xfId="18999" xr:uid="{4F657558-71F4-49ED-A65D-514FA1296D4A}"/>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875140D3-3023-455E-BA0B-E1EFCB91D4B4}"/>
    <cellStyle name="Comma 4 3 2 6 2 2 3" xfId="25774" xr:uid="{E2E60ADA-6063-43A0-8DD5-F46FBD366FF1}"/>
    <cellStyle name="Comma 4 3 2 6 2 3" xfId="13110" xr:uid="{D228E61D-10A9-4D00-8463-5CF053334A69}"/>
    <cellStyle name="Comma 4 3 2 6 2 4" xfId="21557" xr:uid="{D45B65A8-0738-4EFD-A118-EFE1831B5A93}"/>
    <cellStyle name="Comma 4 3 2 6 3" xfId="5856" xr:uid="{00000000-0005-0000-0000-000065090000}"/>
    <cellStyle name="Comma 4 3 2 6 3 2" xfId="15182" xr:uid="{752CC97A-2A7E-487D-81E0-CDE979BFAC5F}"/>
    <cellStyle name="Comma 4 3 2 6 3 3" xfId="23629" xr:uid="{39A860A5-0F71-44A5-B14D-9A3D9D81D3C2}"/>
    <cellStyle name="Comma 4 3 2 6 4" xfId="10965" xr:uid="{8987180D-93E6-464D-8A6A-3223563468E4}"/>
    <cellStyle name="Comma 4 3 2 6 5" xfId="19412" xr:uid="{57806D70-E71A-4EC7-8E3E-75811E482E36}"/>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F431F680-62C6-4514-8AE1-BB275DAB31FE}"/>
    <cellStyle name="Comma 4 3 2 7 2 2 3" xfId="26187" xr:uid="{CF8F6B1C-CB49-4AF3-A056-85A014A3B47B}"/>
    <cellStyle name="Comma 4 3 2 7 2 3" xfId="13523" xr:uid="{5089448D-3C1C-403E-AF58-D1DFD85E9E75}"/>
    <cellStyle name="Comma 4 3 2 7 2 4" xfId="21970" xr:uid="{EE7DAD55-6FC9-4F97-88F8-99F85546029D}"/>
    <cellStyle name="Comma 4 3 2 7 3" xfId="6269" xr:uid="{00000000-0005-0000-0000-000069090000}"/>
    <cellStyle name="Comma 4 3 2 7 3 2" xfId="15595" xr:uid="{6470268A-4E50-4053-B88D-EB10C5E8396C}"/>
    <cellStyle name="Comma 4 3 2 7 3 3" xfId="24042" xr:uid="{0B7BC306-4A12-4037-9D78-FBDED57B8E3C}"/>
    <cellStyle name="Comma 4 3 2 7 4" xfId="11378" xr:uid="{31537C1B-98B5-4CF9-88D7-732F9952426C}"/>
    <cellStyle name="Comma 4 3 2 7 5" xfId="19825" xr:uid="{E18B960C-22FA-47F5-9630-B73F2A52D0C6}"/>
    <cellStyle name="Comma 4 3 2 8" xfId="2398" xr:uid="{00000000-0005-0000-0000-00006A090000}"/>
    <cellStyle name="Comma 4 3 2 8 2" xfId="6682" xr:uid="{00000000-0005-0000-0000-00006B090000}"/>
    <cellStyle name="Comma 4 3 2 8 2 2" xfId="16008" xr:uid="{E8A3BCB2-A2DA-43C9-8D5E-56BE53263FB2}"/>
    <cellStyle name="Comma 4 3 2 8 2 3" xfId="24455" xr:uid="{AE7692A6-8324-4DE3-BC93-D518670F1E9E}"/>
    <cellStyle name="Comma 4 3 2 8 3" xfId="11791" xr:uid="{A014346A-150D-4C2C-AE93-2F8AE3D2CB47}"/>
    <cellStyle name="Comma 4 3 2 8 4" xfId="20238" xr:uid="{6750DFD7-7338-4119-B58E-4DB70D230812}"/>
    <cellStyle name="Comma 4 3 2 9" xfId="2365" xr:uid="{00000000-0005-0000-0000-00006C090000}"/>
    <cellStyle name="Comma 4 3 3" xfId="149" xr:uid="{00000000-0005-0000-0000-00006D090000}"/>
    <cellStyle name="Comma 4 3 3 10" xfId="4620" xr:uid="{00000000-0005-0000-0000-00006E090000}"/>
    <cellStyle name="Comma 4 3 3 10 2" xfId="13946" xr:uid="{0B7A2636-AEC4-43E8-9133-B54751E47932}"/>
    <cellStyle name="Comma 4 3 3 10 3" xfId="22393" xr:uid="{B423CFAB-B681-4574-8426-7D101DB1F734}"/>
    <cellStyle name="Comma 4 3 3 11" xfId="8881" xr:uid="{ACA3BC7C-CED7-49C2-9DC3-E2A3989962E9}"/>
    <cellStyle name="Comma 4 3 3 12" xfId="9729" xr:uid="{6FC33449-103B-4A0B-B91A-B3E7306AED13}"/>
    <cellStyle name="Comma 4 3 3 13" xfId="18176" xr:uid="{DD35FDE0-F4C0-4ED4-8CDE-64B8FD3F2C3D}"/>
    <cellStyle name="Comma 4 3 3 2" xfId="150" xr:uid="{00000000-0005-0000-0000-00006F090000}"/>
    <cellStyle name="Comma 4 3 3 2 10" xfId="9088" xr:uid="{D40CFC42-DEA3-4A4C-8532-2B6CFC29229D}"/>
    <cellStyle name="Comma 4 3 3 2 11" xfId="9730" xr:uid="{038697C3-A150-4D8D-9B93-B132AF8EC031}"/>
    <cellStyle name="Comma 4 3 3 2 12" xfId="18177" xr:uid="{03FE4845-2018-4847-A85E-BDE459182C69}"/>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78CCB2D7-F26F-47DD-AFF0-B7FAD13FE021}"/>
    <cellStyle name="Comma 4 3 3 2 2 2 2 3" xfId="24953" xr:uid="{8DE5BB69-59ED-4D30-AC1D-CD7019F0EA8B}"/>
    <cellStyle name="Comma 4 3 3 2 2 2 3" xfId="12289" xr:uid="{06A81F42-A399-41E7-8138-63D9D2C523AC}"/>
    <cellStyle name="Comma 4 3 3 2 2 2 4" xfId="20736" xr:uid="{53B2DCBA-BEE4-486C-AF65-FDAA1C839007}"/>
    <cellStyle name="Comma 4 3 3 2 2 3" xfId="5035" xr:uid="{00000000-0005-0000-0000-000073090000}"/>
    <cellStyle name="Comma 4 3 3 2 2 3 2" xfId="14361" xr:uid="{103919B0-FEDF-4000-B6E4-38953871223F}"/>
    <cellStyle name="Comma 4 3 3 2 2 3 3" xfId="22808" xr:uid="{AF211376-6553-40FF-BF5B-EB2E8F5C83A4}"/>
    <cellStyle name="Comma 4 3 3 2 2 4" xfId="9513" xr:uid="{986E0DAD-8ABC-4DAC-9C56-EF87B6B3B829}"/>
    <cellStyle name="Comma 4 3 3 2 2 5" xfId="10144" xr:uid="{A84BDA3F-32D9-4E7E-A4DE-483FDBD68594}"/>
    <cellStyle name="Comma 4 3 3 2 2 6" xfId="18591" xr:uid="{4CB8EE63-802C-4515-BD5A-B9C114E6FCB7}"/>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BBCFCE5A-EED8-40C8-9A80-D998F51495B0}"/>
    <cellStyle name="Comma 4 3 3 2 3 2 2 3" xfId="25366" xr:uid="{BE9532F2-53DC-487D-A8F6-460D8C22C71D}"/>
    <cellStyle name="Comma 4 3 3 2 3 2 3" xfId="12702" xr:uid="{A4C8EEED-1654-4117-9CB4-011116006712}"/>
    <cellStyle name="Comma 4 3 3 2 3 2 4" xfId="21149" xr:uid="{CF0CF12B-2128-43D8-8F55-B18FAFBF0E85}"/>
    <cellStyle name="Comma 4 3 3 2 3 3" xfId="5448" xr:uid="{00000000-0005-0000-0000-000077090000}"/>
    <cellStyle name="Comma 4 3 3 2 3 3 2" xfId="14774" xr:uid="{F74CCA39-4536-4BE5-A2CB-C439D0C53520}"/>
    <cellStyle name="Comma 4 3 3 2 3 3 3" xfId="23221" xr:uid="{19309E46-7FA0-4AC3-A4B5-A2C1055588B0}"/>
    <cellStyle name="Comma 4 3 3 2 3 4" xfId="10557" xr:uid="{DB86E86E-0017-4947-B233-81B5C84006C1}"/>
    <cellStyle name="Comma 4 3 3 2 3 5" xfId="19004" xr:uid="{24A81401-293F-488C-B9B1-333B61D55959}"/>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822866AA-FE3B-40AD-8C58-756FDB51C23B}"/>
    <cellStyle name="Comma 4 3 3 2 4 2 2 3" xfId="25779" xr:uid="{AABEC11C-090E-4823-A47A-72A3325904EF}"/>
    <cellStyle name="Comma 4 3 3 2 4 2 3" xfId="13115" xr:uid="{0C315919-49C6-49B6-BB8B-4C9B1E48ABF9}"/>
    <cellStyle name="Comma 4 3 3 2 4 2 4" xfId="21562" xr:uid="{48D19584-9BED-4503-80E4-CC1950EA5597}"/>
    <cellStyle name="Comma 4 3 3 2 4 3" xfId="5861" xr:uid="{00000000-0005-0000-0000-00007B090000}"/>
    <cellStyle name="Comma 4 3 3 2 4 3 2" xfId="15187" xr:uid="{B4C7A0B2-510C-4E3C-AECA-2C2F56783028}"/>
    <cellStyle name="Comma 4 3 3 2 4 3 3" xfId="23634" xr:uid="{9C054DCC-E735-4B0E-A46F-32F05448666A}"/>
    <cellStyle name="Comma 4 3 3 2 4 4" xfId="10970" xr:uid="{F35E5AD2-485F-45FC-AC2B-5A9427911C71}"/>
    <cellStyle name="Comma 4 3 3 2 4 5" xfId="19417" xr:uid="{0288C40D-4B1A-44A1-8A58-BC20619391FB}"/>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A0441363-AF5B-4FE3-81D5-CFBE0E893B27}"/>
    <cellStyle name="Comma 4 3 3 2 5 2 2 3" xfId="26192" xr:uid="{29919F2D-17CF-42DA-8E40-07D052BBA7D1}"/>
    <cellStyle name="Comma 4 3 3 2 5 2 3" xfId="13528" xr:uid="{D31DBA9F-A86E-4816-BB26-3BF34BDFDC5E}"/>
    <cellStyle name="Comma 4 3 3 2 5 2 4" xfId="21975" xr:uid="{B3A590C5-1434-4FCA-A67C-2D3F62B84AF5}"/>
    <cellStyle name="Comma 4 3 3 2 5 3" xfId="6274" xr:uid="{00000000-0005-0000-0000-00007F090000}"/>
    <cellStyle name="Comma 4 3 3 2 5 3 2" xfId="15600" xr:uid="{E5840C84-5F34-4F8E-8374-7E83B39A3268}"/>
    <cellStyle name="Comma 4 3 3 2 5 3 3" xfId="24047" xr:uid="{B3EE6179-52DC-455D-8178-E40EA8813DE2}"/>
    <cellStyle name="Comma 4 3 3 2 5 4" xfId="11383" xr:uid="{1661CA46-0A49-435F-B4F1-F505E1BC4FC7}"/>
    <cellStyle name="Comma 4 3 3 2 5 5" xfId="19830" xr:uid="{BF639CF5-A33E-4652-A3DF-4BFBA548EC5E}"/>
    <cellStyle name="Comma 4 3 3 2 6" xfId="2403" xr:uid="{00000000-0005-0000-0000-000080090000}"/>
    <cellStyle name="Comma 4 3 3 2 6 2" xfId="6687" xr:uid="{00000000-0005-0000-0000-000081090000}"/>
    <cellStyle name="Comma 4 3 3 2 6 2 2" xfId="16013" xr:uid="{ADAB84D5-8410-4563-B9F8-073A0370880E}"/>
    <cellStyle name="Comma 4 3 3 2 6 2 3" xfId="24460" xr:uid="{AB0A459D-B353-4C18-A97C-FDC8FB940661}"/>
    <cellStyle name="Comma 4 3 3 2 6 3" xfId="11796" xr:uid="{3F7BAA40-65F5-4287-8097-1D12EEBC37C5}"/>
    <cellStyle name="Comma 4 3 3 2 6 4" xfId="20243" xr:uid="{B301D5CB-65CE-4F13-8D16-FE8CF72670EB}"/>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E12846C1-F034-42F9-BB1E-ECE8B08AA130}"/>
    <cellStyle name="Comma 4 3 3 2 8 2 3" xfId="24777" xr:uid="{5F60601C-FF2F-4D81-9BBA-7649D5EE3F50}"/>
    <cellStyle name="Comma 4 3 3 2 8 3" xfId="12113" xr:uid="{0AF1566E-8D8C-4A55-9369-97DF9C504C84}"/>
    <cellStyle name="Comma 4 3 3 2 8 4" xfId="20560" xr:uid="{DD2B11E8-082C-43FC-98D1-F0553CFCE29F}"/>
    <cellStyle name="Comma 4 3 3 2 9" xfId="4621" xr:uid="{00000000-0005-0000-0000-000085090000}"/>
    <cellStyle name="Comma 4 3 3 2 9 2" xfId="13947" xr:uid="{433509BF-BEFF-481C-AB9E-BE6AF58778A2}"/>
    <cellStyle name="Comma 4 3 3 2 9 3" xfId="22394" xr:uid="{5C5D53E6-4497-4398-B0F8-6AF17155B15D}"/>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31BD47F6-E3E9-46F7-8030-7A907362EAAC}"/>
    <cellStyle name="Comma 4 3 3 3 2 2 3" xfId="24952" xr:uid="{E51D2BD4-8185-4A25-9BC4-27E13D002BD0}"/>
    <cellStyle name="Comma 4 3 3 3 2 3" xfId="12288" xr:uid="{3B0B1597-E3C6-4C3C-8F9B-A61DA0B838AA}"/>
    <cellStyle name="Comma 4 3 3 3 2 4" xfId="20735" xr:uid="{4C139546-C4A6-47A7-A80A-6F0432A59934}"/>
    <cellStyle name="Comma 4 3 3 3 3" xfId="5034" xr:uid="{00000000-0005-0000-0000-000089090000}"/>
    <cellStyle name="Comma 4 3 3 3 3 2" xfId="14360" xr:uid="{164BE0E3-CE82-44C8-B068-42AB935A9599}"/>
    <cellStyle name="Comma 4 3 3 3 3 3" xfId="22807" xr:uid="{FD961F6E-79C5-4DBB-A4EC-5F041A217543}"/>
    <cellStyle name="Comma 4 3 3 3 4" xfId="9306" xr:uid="{6AC2749B-EC1D-4760-AD4B-F36381A669B6}"/>
    <cellStyle name="Comma 4 3 3 3 5" xfId="10143" xr:uid="{A4D192F1-5F27-4C56-A98B-128A07BF4995}"/>
    <cellStyle name="Comma 4 3 3 3 6" xfId="18590" xr:uid="{00DE43C5-884C-48ED-BBDF-0DA71B9730FB}"/>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CA0A3175-924B-47BD-95C0-383428E078C4}"/>
    <cellStyle name="Comma 4 3 3 4 2 2 3" xfId="25365" xr:uid="{D61BE7AE-A782-47FD-B007-B2AB0AD1CF3A}"/>
    <cellStyle name="Comma 4 3 3 4 2 3" xfId="12701" xr:uid="{64981FB4-D8C4-421E-88D3-8C9D359ED1A3}"/>
    <cellStyle name="Comma 4 3 3 4 2 4" xfId="21148" xr:uid="{C7B0EB3E-49AF-4EA8-AD37-5D86BB42891D}"/>
    <cellStyle name="Comma 4 3 3 4 3" xfId="5447" xr:uid="{00000000-0005-0000-0000-00008D090000}"/>
    <cellStyle name="Comma 4 3 3 4 3 2" xfId="14773" xr:uid="{64DFFF81-D8AF-447D-AA62-1237323E49CC}"/>
    <cellStyle name="Comma 4 3 3 4 3 3" xfId="23220" xr:uid="{43F76AFE-BE60-4463-BF4E-5611D91390D5}"/>
    <cellStyle name="Comma 4 3 3 4 4" xfId="10556" xr:uid="{7BFAB63F-A70B-4316-A49F-3864A1234B98}"/>
    <cellStyle name="Comma 4 3 3 4 5" xfId="19003" xr:uid="{A1C9CE3C-39FF-43C9-B063-BC080799551B}"/>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4C1141AF-14FE-4BE8-BAEF-EF798697A206}"/>
    <cellStyle name="Comma 4 3 3 5 2 2 3" xfId="25778" xr:uid="{18DBD507-AAB2-45B6-9181-490F7827527D}"/>
    <cellStyle name="Comma 4 3 3 5 2 3" xfId="13114" xr:uid="{0C1983F4-5AC3-4B06-A7A5-EE91A9F331DD}"/>
    <cellStyle name="Comma 4 3 3 5 2 4" xfId="21561" xr:uid="{281B2008-47B3-4194-AB60-6903ED70491D}"/>
    <cellStyle name="Comma 4 3 3 5 3" xfId="5860" xr:uid="{00000000-0005-0000-0000-000091090000}"/>
    <cellStyle name="Comma 4 3 3 5 3 2" xfId="15186" xr:uid="{B42DEAC0-BE91-4D97-ABE7-53098DA15E5D}"/>
    <cellStyle name="Comma 4 3 3 5 3 3" xfId="23633" xr:uid="{FCC906F0-1A85-472F-8B5B-3FDD03E8926D}"/>
    <cellStyle name="Comma 4 3 3 5 4" xfId="10969" xr:uid="{E74B6533-3143-417E-B19C-CE6F75560229}"/>
    <cellStyle name="Comma 4 3 3 5 5" xfId="19416" xr:uid="{A4D08B47-97C3-4B39-85EA-C96021E1FD1B}"/>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DF7CDBE0-DE07-446C-BC05-147BD1A39744}"/>
    <cellStyle name="Comma 4 3 3 6 2 2 3" xfId="26191" xr:uid="{E824A28A-E97C-4EF8-AF21-9C65C9DB42C5}"/>
    <cellStyle name="Comma 4 3 3 6 2 3" xfId="13527" xr:uid="{FA50CE61-0C2E-4C24-BD6C-51FD428990F1}"/>
    <cellStyle name="Comma 4 3 3 6 2 4" xfId="21974" xr:uid="{FBA42C54-D186-4CDD-8E64-60BB2F0F3F2F}"/>
    <cellStyle name="Comma 4 3 3 6 3" xfId="6273" xr:uid="{00000000-0005-0000-0000-000095090000}"/>
    <cellStyle name="Comma 4 3 3 6 3 2" xfId="15599" xr:uid="{AA2BB003-FD3A-4179-8C59-121E441DAD94}"/>
    <cellStyle name="Comma 4 3 3 6 3 3" xfId="24046" xr:uid="{638D8B8E-ADAF-4E5C-8ECD-103C3699A9A6}"/>
    <cellStyle name="Comma 4 3 3 6 4" xfId="11382" xr:uid="{F3EE091F-B63D-4942-A9C6-CB00AB17657C}"/>
    <cellStyle name="Comma 4 3 3 6 5" xfId="19829" xr:uid="{EE610534-726E-42B7-9C96-A8C1F9624A34}"/>
    <cellStyle name="Comma 4 3 3 7" xfId="2402" xr:uid="{00000000-0005-0000-0000-000096090000}"/>
    <cellStyle name="Comma 4 3 3 7 2" xfId="6686" xr:uid="{00000000-0005-0000-0000-000097090000}"/>
    <cellStyle name="Comma 4 3 3 7 2 2" xfId="16012" xr:uid="{3E736C2A-1564-446D-A862-1AF9480D8478}"/>
    <cellStyle name="Comma 4 3 3 7 2 3" xfId="24459" xr:uid="{CB0B9B93-7410-45FF-AA63-B822710CFCBE}"/>
    <cellStyle name="Comma 4 3 3 7 3" xfId="11795" xr:uid="{BD6164C3-89D9-472F-B906-9010240E6014}"/>
    <cellStyle name="Comma 4 3 3 7 4" xfId="20242" xr:uid="{4D8BD9D6-BED3-413D-A866-2CE671B4BA3D}"/>
    <cellStyle name="Comma 4 3 3 8" xfId="2361" xr:uid="{00000000-0005-0000-0000-000098090000}"/>
    <cellStyle name="Comma 4 3 3 9" xfId="2780" xr:uid="{00000000-0005-0000-0000-000099090000}"/>
    <cellStyle name="Comma 4 3 3 9 2" xfId="7003" xr:uid="{00000000-0005-0000-0000-00009A090000}"/>
    <cellStyle name="Comma 4 3 3 9 2 2" xfId="16329" xr:uid="{14025106-CFE8-48FF-8C0E-5563E14BF28E}"/>
    <cellStyle name="Comma 4 3 3 9 2 3" xfId="24776" xr:uid="{38D3C52A-128A-48F4-9F77-1AC435AA7850}"/>
    <cellStyle name="Comma 4 3 3 9 3" xfId="12112" xr:uid="{F79417DE-95CA-44F0-BB8B-9FE28012401C}"/>
    <cellStyle name="Comma 4 3 3 9 4" xfId="20559" xr:uid="{A86A75B0-B021-45A3-9B67-4672E4E61CB5}"/>
    <cellStyle name="Comma 4 3 4" xfId="151" xr:uid="{00000000-0005-0000-0000-00009B090000}"/>
    <cellStyle name="Comma 4 3 4 10" xfId="8985" xr:uid="{E965CEC1-A932-4F91-9E18-794CBF7DC7FC}"/>
    <cellStyle name="Comma 4 3 4 11" xfId="9731" xr:uid="{326F6D54-5C0C-4471-82AD-49DE1355DF45}"/>
    <cellStyle name="Comma 4 3 4 12" xfId="18178" xr:uid="{E58B4B55-1236-4115-B607-A5FB4F9134F1}"/>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97599B8D-B3C7-4108-8451-DDA50AE814CF}"/>
    <cellStyle name="Comma 4 3 4 2 2 2 3" xfId="24954" xr:uid="{D722DB7D-4203-46C0-9260-13A350B81812}"/>
    <cellStyle name="Comma 4 3 4 2 2 3" xfId="12290" xr:uid="{1284FC20-3A4E-4F6E-9205-1479A0B6792B}"/>
    <cellStyle name="Comma 4 3 4 2 2 4" xfId="20737" xr:uid="{58923B82-DCEF-4B15-823B-2516F3382CA0}"/>
    <cellStyle name="Comma 4 3 4 2 3" xfId="5036" xr:uid="{00000000-0005-0000-0000-00009F090000}"/>
    <cellStyle name="Comma 4 3 4 2 3 2" xfId="14362" xr:uid="{F65013B6-48E9-496B-8EA4-7BC38953C629}"/>
    <cellStyle name="Comma 4 3 4 2 3 3" xfId="22809" xr:uid="{C73533FD-1241-43D4-A4F6-027F0ED4A297}"/>
    <cellStyle name="Comma 4 3 4 2 4" xfId="9410" xr:uid="{54DEC146-6204-4AAF-A15F-BAC0A12B5984}"/>
    <cellStyle name="Comma 4 3 4 2 5" xfId="10145" xr:uid="{EB17D245-D22E-4459-9F57-35783ACC1044}"/>
    <cellStyle name="Comma 4 3 4 2 6" xfId="18592" xr:uid="{FCE6D036-9DF2-4679-8036-2FC8D3422887}"/>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725F61D6-B1A6-4AD5-A98C-0ECC6817510E}"/>
    <cellStyle name="Comma 4 3 4 3 2 2 3" xfId="25367" xr:uid="{A9CA0824-5608-4506-AF50-016BCB639206}"/>
    <cellStyle name="Comma 4 3 4 3 2 3" xfId="12703" xr:uid="{293DA0EE-06FB-4774-BE36-FF466177D741}"/>
    <cellStyle name="Comma 4 3 4 3 2 4" xfId="21150" xr:uid="{0F87C189-B402-46C6-BCA8-36328FD91F18}"/>
    <cellStyle name="Comma 4 3 4 3 3" xfId="5449" xr:uid="{00000000-0005-0000-0000-0000A3090000}"/>
    <cellStyle name="Comma 4 3 4 3 3 2" xfId="14775" xr:uid="{EC78CB91-22F8-4007-8202-7CFC84C1E05F}"/>
    <cellStyle name="Comma 4 3 4 3 3 3" xfId="23222" xr:uid="{37D2BEF1-AA18-4E40-8DAC-0FD41AF2791C}"/>
    <cellStyle name="Comma 4 3 4 3 4" xfId="10558" xr:uid="{B4B3E8B5-4C4F-4542-B317-9F403ACAC6FD}"/>
    <cellStyle name="Comma 4 3 4 3 5" xfId="19005" xr:uid="{7728DFF7-FF3E-4038-A497-3C37F4252568}"/>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0BF30BA8-6967-45E7-9824-9FBA082FF224}"/>
    <cellStyle name="Comma 4 3 4 4 2 2 3" xfId="25780" xr:uid="{25242F07-E277-4373-A571-3DDE550D4375}"/>
    <cellStyle name="Comma 4 3 4 4 2 3" xfId="13116" xr:uid="{C787FB7E-E2FA-47B9-8DB0-73EC73997E91}"/>
    <cellStyle name="Comma 4 3 4 4 2 4" xfId="21563" xr:uid="{E726C3FA-C822-4466-AC06-2BD5E1003760}"/>
    <cellStyle name="Comma 4 3 4 4 3" xfId="5862" xr:uid="{00000000-0005-0000-0000-0000A7090000}"/>
    <cellStyle name="Comma 4 3 4 4 3 2" xfId="15188" xr:uid="{14451BE2-D0D5-4AD2-A6DD-6C42CD4D4DF8}"/>
    <cellStyle name="Comma 4 3 4 4 3 3" xfId="23635" xr:uid="{2A904B19-B54C-4CE3-A660-3702892A0568}"/>
    <cellStyle name="Comma 4 3 4 4 4" xfId="10971" xr:uid="{F80ADBC4-AA91-405E-8C7C-F79DB03AE5E8}"/>
    <cellStyle name="Comma 4 3 4 4 5" xfId="19418" xr:uid="{F5595E1A-4326-496F-AA06-DD281C71F7FA}"/>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1BF4D017-0471-47CE-A08D-EC09B2853708}"/>
    <cellStyle name="Comma 4 3 4 5 2 2 3" xfId="26193" xr:uid="{C88BE10C-7CB2-4FE8-8750-B63E6D46C4BE}"/>
    <cellStyle name="Comma 4 3 4 5 2 3" xfId="13529" xr:uid="{757BCF1F-9204-47F7-90FD-6886DDED3E1E}"/>
    <cellStyle name="Comma 4 3 4 5 2 4" xfId="21976" xr:uid="{E22B7D0C-11A3-470A-9A7A-A75C72FAE97D}"/>
    <cellStyle name="Comma 4 3 4 5 3" xfId="6275" xr:uid="{00000000-0005-0000-0000-0000AB090000}"/>
    <cellStyle name="Comma 4 3 4 5 3 2" xfId="15601" xr:uid="{47B5EF65-1075-4D02-AF1C-B765282CAB94}"/>
    <cellStyle name="Comma 4 3 4 5 3 3" xfId="24048" xr:uid="{FFA2C8FF-2D4C-47D5-B767-672BBE2BB606}"/>
    <cellStyle name="Comma 4 3 4 5 4" xfId="11384" xr:uid="{B3E2898D-3548-4781-AA4F-F41E342207E6}"/>
    <cellStyle name="Comma 4 3 4 5 5" xfId="19831" xr:uid="{31A8F887-9A69-47FD-BB41-53980AF426CC}"/>
    <cellStyle name="Comma 4 3 4 6" xfId="2404" xr:uid="{00000000-0005-0000-0000-0000AC090000}"/>
    <cellStyle name="Comma 4 3 4 6 2" xfId="6688" xr:uid="{00000000-0005-0000-0000-0000AD090000}"/>
    <cellStyle name="Comma 4 3 4 6 2 2" xfId="16014" xr:uid="{F4705074-2B22-40E1-BD05-0C903B84CB87}"/>
    <cellStyle name="Comma 4 3 4 6 2 3" xfId="24461" xr:uid="{33CD7E55-B702-436A-B6BF-71B92CD14B84}"/>
    <cellStyle name="Comma 4 3 4 6 3" xfId="11797" xr:uid="{83364AEB-D551-441D-8EFB-FC394E2F7E1D}"/>
    <cellStyle name="Comma 4 3 4 6 4" xfId="20244" xr:uid="{B60EB734-96D2-43F7-9982-080490338325}"/>
    <cellStyle name="Comma 4 3 4 7" xfId="2700" xr:uid="{00000000-0005-0000-0000-0000AE090000}"/>
    <cellStyle name="Comma 4 3 4 8" xfId="2782" xr:uid="{00000000-0005-0000-0000-0000AF090000}"/>
    <cellStyle name="Comma 4 3 4 8 2" xfId="7005" xr:uid="{00000000-0005-0000-0000-0000B0090000}"/>
    <cellStyle name="Comma 4 3 4 8 2 2" xfId="16331" xr:uid="{80A0A571-9B7B-4B72-BD64-8F2FA4E7BC19}"/>
    <cellStyle name="Comma 4 3 4 8 2 3" xfId="24778" xr:uid="{BE0C0C08-FB97-440A-96C0-2FD27522358D}"/>
    <cellStyle name="Comma 4 3 4 8 3" xfId="12114" xr:uid="{89AF76F3-B711-4827-9826-7D4034FD9F0C}"/>
    <cellStyle name="Comma 4 3 4 8 4" xfId="20561" xr:uid="{F5E618F7-4C91-4067-9E8E-56AD5995B01B}"/>
    <cellStyle name="Comma 4 3 4 9" xfId="4622" xr:uid="{00000000-0005-0000-0000-0000B1090000}"/>
    <cellStyle name="Comma 4 3 4 9 2" xfId="13948" xr:uid="{A35AF78F-88B9-4D85-99B1-158F1A29F505}"/>
    <cellStyle name="Comma 4 3 4 9 3" xfId="22395" xr:uid="{80420754-9B45-4443-A5B2-C48197FC2AE1}"/>
    <cellStyle name="Comma 4 3 5" xfId="152" xr:uid="{00000000-0005-0000-0000-0000B2090000}"/>
    <cellStyle name="Comma 4 3 5 10" xfId="9202" xr:uid="{BF5456DA-E11C-47BD-8210-21F45D9E5F79}"/>
    <cellStyle name="Comma 4 3 5 11" xfId="9732" xr:uid="{24527898-CC53-4A95-9500-FD4B23D229B4}"/>
    <cellStyle name="Comma 4 3 5 12" xfId="18179" xr:uid="{2501F002-0BFA-4676-8E01-98C7D7682DF8}"/>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F80E68F7-EC1B-4B2B-AD0E-F26DF98F63D7}"/>
    <cellStyle name="Comma 4 3 5 2 2 2 3" xfId="24955" xr:uid="{587EA6D0-6054-4909-AB36-9B6CBC51CFA3}"/>
    <cellStyle name="Comma 4 3 5 2 2 3" xfId="12291" xr:uid="{1761ECC7-D61C-4582-83F9-74E64B6E1C2D}"/>
    <cellStyle name="Comma 4 3 5 2 2 4" xfId="20738" xr:uid="{1C3BD8D1-A437-42CF-9143-EE020EB1E836}"/>
    <cellStyle name="Comma 4 3 5 2 3" xfId="5037" xr:uid="{00000000-0005-0000-0000-0000B6090000}"/>
    <cellStyle name="Comma 4 3 5 2 3 2" xfId="14363" xr:uid="{6B0BDBD8-A8D4-4FB2-B2CF-1FFB41E92C3C}"/>
    <cellStyle name="Comma 4 3 5 2 3 3" xfId="22810" xr:uid="{3C9CC494-26BE-429F-893A-9FC38E4359F1}"/>
    <cellStyle name="Comma 4 3 5 2 4" xfId="9595" xr:uid="{3E6BF710-D2EA-4AFB-83F1-C6BF1C2192FF}"/>
    <cellStyle name="Comma 4 3 5 2 5" xfId="10146" xr:uid="{84307B5B-46DF-4836-A5D4-BE2B23EC3DC7}"/>
    <cellStyle name="Comma 4 3 5 2 6" xfId="18593" xr:uid="{845894B6-29D2-4DCC-AA61-7F3BF2D6F90B}"/>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6EDA9E8E-BB52-44D8-978F-C7BE8203E46D}"/>
    <cellStyle name="Comma 4 3 5 3 2 2 3" xfId="25368" xr:uid="{7A729A58-866F-4C65-A540-83DC16F8C68D}"/>
    <cellStyle name="Comma 4 3 5 3 2 3" xfId="12704" xr:uid="{5E3BE6BB-0FE2-422B-9422-2BA8BAE66BB0}"/>
    <cellStyle name="Comma 4 3 5 3 2 4" xfId="21151" xr:uid="{D9A873A1-124A-44CA-8D76-00F2C0A49308}"/>
    <cellStyle name="Comma 4 3 5 3 3" xfId="5450" xr:uid="{00000000-0005-0000-0000-0000BA090000}"/>
    <cellStyle name="Comma 4 3 5 3 3 2" xfId="14776" xr:uid="{C24FC7D9-8DEE-442A-8BCA-891E5A02DD78}"/>
    <cellStyle name="Comma 4 3 5 3 3 3" xfId="23223" xr:uid="{4868255A-0FBC-4CA4-ACB9-DABF355B5FA0}"/>
    <cellStyle name="Comma 4 3 5 3 4" xfId="10559" xr:uid="{F1B1FA39-E825-4451-B689-DFE65ACD3CFF}"/>
    <cellStyle name="Comma 4 3 5 3 5" xfId="19006" xr:uid="{44502946-BCA4-48F3-980F-80025BEAA3FB}"/>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52BC3847-718C-4ACB-AAA1-DCACFE591ABA}"/>
    <cellStyle name="Comma 4 3 5 4 2 2 3" xfId="25781" xr:uid="{BED905C4-C433-43B1-8E1C-8ED2F0232DB6}"/>
    <cellStyle name="Comma 4 3 5 4 2 3" xfId="13117" xr:uid="{4CA53769-D3A0-4794-9440-438A421191F3}"/>
    <cellStyle name="Comma 4 3 5 4 2 4" xfId="21564" xr:uid="{40D8920A-FFFC-465A-A951-17BC9F881538}"/>
    <cellStyle name="Comma 4 3 5 4 3" xfId="5863" xr:uid="{00000000-0005-0000-0000-0000BE090000}"/>
    <cellStyle name="Comma 4 3 5 4 3 2" xfId="15189" xr:uid="{063B8838-DD00-4087-A078-C2C799A112F8}"/>
    <cellStyle name="Comma 4 3 5 4 3 3" xfId="23636" xr:uid="{C5E07E02-A921-4DB1-85D6-048211AD9648}"/>
    <cellStyle name="Comma 4 3 5 4 4" xfId="10972" xr:uid="{506F5138-C9FF-4B22-A9D8-337999081B75}"/>
    <cellStyle name="Comma 4 3 5 4 5" xfId="19419" xr:uid="{D2D186D6-A922-4B56-917A-85A45710A215}"/>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C811DFC7-A88E-48A6-AD36-B18B7DD07701}"/>
    <cellStyle name="Comma 4 3 5 5 2 2 3" xfId="26194" xr:uid="{510CB5D0-B240-4712-9767-CDCBCFFDF8DC}"/>
    <cellStyle name="Comma 4 3 5 5 2 3" xfId="13530" xr:uid="{13AEC6B7-80BE-42A4-8F3B-A60840F0D31E}"/>
    <cellStyle name="Comma 4 3 5 5 2 4" xfId="21977" xr:uid="{C41A43CD-CD2D-402F-8DE7-3452BBCF0FC4}"/>
    <cellStyle name="Comma 4 3 5 5 3" xfId="6276" xr:uid="{00000000-0005-0000-0000-0000C2090000}"/>
    <cellStyle name="Comma 4 3 5 5 3 2" xfId="15602" xr:uid="{06CAA2A3-E6B1-4EC1-88E3-2C76465FD7EB}"/>
    <cellStyle name="Comma 4 3 5 5 3 3" xfId="24049" xr:uid="{E1076441-0B49-46B9-BA26-CDFA7F108637}"/>
    <cellStyle name="Comma 4 3 5 5 4" xfId="11385" xr:uid="{12909C19-0865-4FC2-BE3C-9781219D0761}"/>
    <cellStyle name="Comma 4 3 5 5 5" xfId="19832" xr:uid="{0E86D9D1-6F16-4014-80E7-3FBFB5B453CC}"/>
    <cellStyle name="Comma 4 3 5 6" xfId="2405" xr:uid="{00000000-0005-0000-0000-0000C3090000}"/>
    <cellStyle name="Comma 4 3 5 6 2" xfId="6689" xr:uid="{00000000-0005-0000-0000-0000C4090000}"/>
    <cellStyle name="Comma 4 3 5 6 2 2" xfId="16015" xr:uid="{2D6F1654-81C3-4CC2-8037-4995F2AF8E35}"/>
    <cellStyle name="Comma 4 3 5 6 2 3" xfId="24462" xr:uid="{513D8EB5-2EAF-43C2-AC2F-A64A65DB5036}"/>
    <cellStyle name="Comma 4 3 5 6 3" xfId="11798" xr:uid="{876DFFC4-5A36-4B2A-9B4E-F90B9C93AB15}"/>
    <cellStyle name="Comma 4 3 5 6 4" xfId="20245" xr:uid="{557C27FA-3A0E-4033-89B0-B141BBC062C6}"/>
    <cellStyle name="Comma 4 3 5 7" xfId="2701" xr:uid="{00000000-0005-0000-0000-0000C5090000}"/>
    <cellStyle name="Comma 4 3 5 8" xfId="2783" xr:uid="{00000000-0005-0000-0000-0000C6090000}"/>
    <cellStyle name="Comma 4 3 5 8 2" xfId="7006" xr:uid="{00000000-0005-0000-0000-0000C7090000}"/>
    <cellStyle name="Comma 4 3 5 8 2 2" xfId="16332" xr:uid="{64D28424-300E-4716-927D-911875A8E796}"/>
    <cellStyle name="Comma 4 3 5 8 2 3" xfId="24779" xr:uid="{C9A615E9-8A9A-4694-A52A-23F8A4651DC3}"/>
    <cellStyle name="Comma 4 3 5 8 3" xfId="12115" xr:uid="{E358A678-AF96-407A-B530-6DCA3D252386}"/>
    <cellStyle name="Comma 4 3 5 8 4" xfId="20562" xr:uid="{8980C3B5-9D2B-43B7-8FFC-D7CDC5EEEBB8}"/>
    <cellStyle name="Comma 4 3 5 9" xfId="4623" xr:uid="{00000000-0005-0000-0000-0000C8090000}"/>
    <cellStyle name="Comma 4 3 5 9 2" xfId="13949" xr:uid="{5680EE9B-BCDA-4CEF-8A38-230009288D39}"/>
    <cellStyle name="Comma 4 3 5 9 3" xfId="22396" xr:uid="{7E097319-342E-413E-803F-02423522BDFF}"/>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0 2 2" xfId="16333" xr:uid="{911B4C66-5988-4F8A-B464-F9609D8B1947}"/>
    <cellStyle name="Comma 4 4 10 2 3" xfId="24780" xr:uid="{12D1DCFC-1515-44C9-86EA-3F333BB34CE4}"/>
    <cellStyle name="Comma 4 4 10 3" xfId="12116" xr:uid="{202AF8A4-374D-4BF7-B67E-459256FAD824}"/>
    <cellStyle name="Comma 4 4 10 4" xfId="20563" xr:uid="{DCF1EE18-0A1C-445E-A75C-552ED242FF52}"/>
    <cellStyle name="Comma 4 4 11" xfId="4624" xr:uid="{00000000-0005-0000-0000-0000CC090000}"/>
    <cellStyle name="Comma 4 4 11 2" xfId="13950" xr:uid="{124C7B12-10B7-4FFE-9040-BE45CBA6B3BD}"/>
    <cellStyle name="Comma 4 4 11 3" xfId="22397" xr:uid="{61EAEB87-4CE6-488A-9662-84728E03F645}"/>
    <cellStyle name="Comma 4 4 12" xfId="8804" xr:uid="{A2BB6322-7771-45CD-845C-77E2FE03AC7A}"/>
    <cellStyle name="Comma 4 4 13" xfId="9733" xr:uid="{3DEF6D99-A1DB-4CB2-ACA0-8A81071F0123}"/>
    <cellStyle name="Comma 4 4 14" xfId="18180" xr:uid="{291AE09A-1B8F-414A-B8DE-54E7CD95041F}"/>
    <cellStyle name="Comma 4 4 2" xfId="154" xr:uid="{00000000-0005-0000-0000-0000CD090000}"/>
    <cellStyle name="Comma 4 4 2 10" xfId="4625" xr:uid="{00000000-0005-0000-0000-0000CE090000}"/>
    <cellStyle name="Comma 4 4 2 10 2" xfId="13951" xr:uid="{F88ABA5E-09E2-497F-882E-406C28B736AD}"/>
    <cellStyle name="Comma 4 4 2 10 3" xfId="22398" xr:uid="{EABDD41A-D680-4B45-9CF8-B1E4457CD664}"/>
    <cellStyle name="Comma 4 4 2 11" xfId="8907" xr:uid="{F9F87618-3BA1-4211-A686-62CF5BBA5770}"/>
    <cellStyle name="Comma 4 4 2 12" xfId="9734" xr:uid="{AC83E285-37F9-4E6C-B003-B69E14787B3D}"/>
    <cellStyle name="Comma 4 4 2 13" xfId="18181" xr:uid="{1C116DC2-5754-4CBA-9570-3731C633EA65}"/>
    <cellStyle name="Comma 4 4 2 2" xfId="155" xr:uid="{00000000-0005-0000-0000-0000CF090000}"/>
    <cellStyle name="Comma 4 4 2 2 10" xfId="9114" xr:uid="{871FAC03-A44E-4C24-806C-3CC0605FD124}"/>
    <cellStyle name="Comma 4 4 2 2 11" xfId="9735" xr:uid="{E7A34A5C-B8B3-4E72-AF92-C11133273BCC}"/>
    <cellStyle name="Comma 4 4 2 2 12" xfId="18182" xr:uid="{358C88D2-710E-446E-8034-5AC92F414EDF}"/>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3C5563B1-AF00-4291-A2DF-A22863672E23}"/>
    <cellStyle name="Comma 4 4 2 2 2 2 2 3" xfId="24958" xr:uid="{654F680E-9165-4A4F-8807-3DA711A2EEF0}"/>
    <cellStyle name="Comma 4 4 2 2 2 2 3" xfId="12294" xr:uid="{73AAEB5B-D702-4F8A-B462-B5663C37A667}"/>
    <cellStyle name="Comma 4 4 2 2 2 2 4" xfId="20741" xr:uid="{C331CB1B-417C-4024-9977-CF6307A11DD1}"/>
    <cellStyle name="Comma 4 4 2 2 2 3" xfId="5040" xr:uid="{00000000-0005-0000-0000-0000D3090000}"/>
    <cellStyle name="Comma 4 4 2 2 2 3 2" xfId="14366" xr:uid="{ED9A82AD-DA32-432C-9A10-6578571DB3EE}"/>
    <cellStyle name="Comma 4 4 2 2 2 3 3" xfId="22813" xr:uid="{24A2DD99-734B-484A-BA2A-C03D9E31A840}"/>
    <cellStyle name="Comma 4 4 2 2 2 4" xfId="9539" xr:uid="{6209A471-8158-46C6-9ADA-C828BB6621B2}"/>
    <cellStyle name="Comma 4 4 2 2 2 5" xfId="10149" xr:uid="{10B9DAEE-0159-498F-B654-9F77E7F6E521}"/>
    <cellStyle name="Comma 4 4 2 2 2 6" xfId="18596" xr:uid="{CB6E1DB6-E550-4C18-BAB2-DC4F3FE4ABDE}"/>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C1400918-EF95-458B-84C7-4890B9EB559D}"/>
    <cellStyle name="Comma 4 4 2 2 3 2 2 3" xfId="25371" xr:uid="{4CD95C6E-7ECB-4C9D-BFA7-D129BA852370}"/>
    <cellStyle name="Comma 4 4 2 2 3 2 3" xfId="12707" xr:uid="{4C984505-A817-4833-8E12-8AA7F399BE9E}"/>
    <cellStyle name="Comma 4 4 2 2 3 2 4" xfId="21154" xr:uid="{77120F55-B7F1-4E82-BBBA-E249A4E41EEB}"/>
    <cellStyle name="Comma 4 4 2 2 3 3" xfId="5453" xr:uid="{00000000-0005-0000-0000-0000D7090000}"/>
    <cellStyle name="Comma 4 4 2 2 3 3 2" xfId="14779" xr:uid="{CB839364-CF82-43BE-B6F6-0F3E6D90944B}"/>
    <cellStyle name="Comma 4 4 2 2 3 3 3" xfId="23226" xr:uid="{F286B6ED-8FC0-453F-B642-2F7B0FCA8193}"/>
    <cellStyle name="Comma 4 4 2 2 3 4" xfId="10562" xr:uid="{4DB08B1E-4B22-4396-8218-7044F9D2B25B}"/>
    <cellStyle name="Comma 4 4 2 2 3 5" xfId="19009" xr:uid="{750B6364-8736-482E-949F-A5552BF6C9BE}"/>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31F1AF2D-C066-4405-8DE8-B183E58BDE7A}"/>
    <cellStyle name="Comma 4 4 2 2 4 2 2 3" xfId="25784" xr:uid="{1658FF25-94E5-4CF0-AA7A-CA263DA23956}"/>
    <cellStyle name="Comma 4 4 2 2 4 2 3" xfId="13120" xr:uid="{394C0226-0620-460C-B42A-DA37743258D8}"/>
    <cellStyle name="Comma 4 4 2 2 4 2 4" xfId="21567" xr:uid="{EAA47361-114D-4D5B-BBD9-E6BB5F2C688F}"/>
    <cellStyle name="Comma 4 4 2 2 4 3" xfId="5866" xr:uid="{00000000-0005-0000-0000-0000DB090000}"/>
    <cellStyle name="Comma 4 4 2 2 4 3 2" xfId="15192" xr:uid="{72798AA2-A313-4FA8-9D4F-0F40BD8E7620}"/>
    <cellStyle name="Comma 4 4 2 2 4 3 3" xfId="23639" xr:uid="{8EA8BAD3-019F-4BFC-9C42-55C87E0580F1}"/>
    <cellStyle name="Comma 4 4 2 2 4 4" xfId="10975" xr:uid="{BBDD7B69-F3B2-4A56-BB2A-40BC8155B210}"/>
    <cellStyle name="Comma 4 4 2 2 4 5" xfId="19422" xr:uid="{8F5084F6-11A8-45AF-A5E0-CA16414591FE}"/>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9357961A-85F7-4918-B48B-E84D4E2D5C01}"/>
    <cellStyle name="Comma 4 4 2 2 5 2 2 3" xfId="26197" xr:uid="{C96A9FDE-C11D-4393-8F24-973E31255BB0}"/>
    <cellStyle name="Comma 4 4 2 2 5 2 3" xfId="13533" xr:uid="{A7518A7E-AA75-4E5A-B132-5D9F7F76C3AC}"/>
    <cellStyle name="Comma 4 4 2 2 5 2 4" xfId="21980" xr:uid="{4D3C5D11-770D-4012-A8D6-8FBCECB90FAF}"/>
    <cellStyle name="Comma 4 4 2 2 5 3" xfId="6279" xr:uid="{00000000-0005-0000-0000-0000DF090000}"/>
    <cellStyle name="Comma 4 4 2 2 5 3 2" xfId="15605" xr:uid="{1F849C18-330D-4AE3-AF8D-97F841726F91}"/>
    <cellStyle name="Comma 4 4 2 2 5 3 3" xfId="24052" xr:uid="{571F2723-A7F4-43CB-8D4C-ACF22024EE0B}"/>
    <cellStyle name="Comma 4 4 2 2 5 4" xfId="11388" xr:uid="{ECF4E669-F8F3-46DD-A660-37A12E016D76}"/>
    <cellStyle name="Comma 4 4 2 2 5 5" xfId="19835" xr:uid="{3FC81075-7237-4C4E-B154-2CB7C7A6B277}"/>
    <cellStyle name="Comma 4 4 2 2 6" xfId="2408" xr:uid="{00000000-0005-0000-0000-0000E0090000}"/>
    <cellStyle name="Comma 4 4 2 2 6 2" xfId="6692" xr:uid="{00000000-0005-0000-0000-0000E1090000}"/>
    <cellStyle name="Comma 4 4 2 2 6 2 2" xfId="16018" xr:uid="{5DAC1093-222F-4127-A586-DE3E0CE08BF0}"/>
    <cellStyle name="Comma 4 4 2 2 6 2 3" xfId="24465" xr:uid="{81AB3570-3E2E-4D79-AD4A-55AC358A320F}"/>
    <cellStyle name="Comma 4 4 2 2 6 3" xfId="11801" xr:uid="{AEBF11A9-ADA2-4C4D-948A-4F1A268E1137}"/>
    <cellStyle name="Comma 4 4 2 2 6 4" xfId="20248" xr:uid="{7E30CECF-4619-4C5B-A354-21BEAED2A1BE}"/>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0E28FBB0-70AF-4ECC-8B1C-FE61A9D07055}"/>
    <cellStyle name="Comma 4 4 2 2 8 2 3" xfId="24782" xr:uid="{3E52E18C-0B4E-42B5-A8EA-B3D3A082DAFC}"/>
    <cellStyle name="Comma 4 4 2 2 8 3" xfId="12118" xr:uid="{21DA539D-D0C7-45FB-B5B2-3A15E6C22BBF}"/>
    <cellStyle name="Comma 4 4 2 2 8 4" xfId="20565" xr:uid="{A725006A-6611-4A10-A3E2-D4414ED4D509}"/>
    <cellStyle name="Comma 4 4 2 2 9" xfId="4626" xr:uid="{00000000-0005-0000-0000-0000E5090000}"/>
    <cellStyle name="Comma 4 4 2 2 9 2" xfId="13952" xr:uid="{45E6BD4D-8801-4CB8-ADAD-50362B292C66}"/>
    <cellStyle name="Comma 4 4 2 2 9 3" xfId="22399" xr:uid="{E155A3F1-0220-41E7-B846-7604DD1B7F60}"/>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86929414-CC31-4946-8EA2-F7C37869764C}"/>
    <cellStyle name="Comma 4 4 2 3 2 2 3" xfId="24957" xr:uid="{96361788-5034-4A55-B1DA-841A6CB27BE1}"/>
    <cellStyle name="Comma 4 4 2 3 2 3" xfId="12293" xr:uid="{08C06BF4-028E-4642-A09A-25EE3EB3BA3E}"/>
    <cellStyle name="Comma 4 4 2 3 2 4" xfId="20740" xr:uid="{B7070760-604D-4502-AF75-0E67B0AD55A6}"/>
    <cellStyle name="Comma 4 4 2 3 3" xfId="5039" xr:uid="{00000000-0005-0000-0000-0000E9090000}"/>
    <cellStyle name="Comma 4 4 2 3 3 2" xfId="14365" xr:uid="{EB5A3FE7-5363-4BAB-8776-A228284522D6}"/>
    <cellStyle name="Comma 4 4 2 3 3 3" xfId="22812" xr:uid="{83814FBE-07C0-47B5-9AB0-66A55B798391}"/>
    <cellStyle name="Comma 4 4 2 3 4" xfId="9332" xr:uid="{00F59ECD-64D7-476B-90FD-CD86F054AE4D}"/>
    <cellStyle name="Comma 4 4 2 3 5" xfId="10148" xr:uid="{04564870-BB90-4EAD-B168-FDD1779908FB}"/>
    <cellStyle name="Comma 4 4 2 3 6" xfId="18595" xr:uid="{EE7AAC2B-0CE7-4828-A9CB-808B17E9CE09}"/>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16EDA968-2A81-4067-AEB4-F3C8174CF927}"/>
    <cellStyle name="Comma 4 4 2 4 2 2 3" xfId="25370" xr:uid="{6FEF1237-5A13-4C5B-AC77-B1675A6A5EF0}"/>
    <cellStyle name="Comma 4 4 2 4 2 3" xfId="12706" xr:uid="{91E488F6-E64A-4E2A-BDB4-A8C81473A47A}"/>
    <cellStyle name="Comma 4 4 2 4 2 4" xfId="21153" xr:uid="{F8E0B2E4-6555-4E5A-A860-4FFAE6FE869D}"/>
    <cellStyle name="Comma 4 4 2 4 3" xfId="5452" xr:uid="{00000000-0005-0000-0000-0000ED090000}"/>
    <cellStyle name="Comma 4 4 2 4 3 2" xfId="14778" xr:uid="{8F75F910-F05B-4F88-8E03-9FC48DC3E7ED}"/>
    <cellStyle name="Comma 4 4 2 4 3 3" xfId="23225" xr:uid="{B911C602-07E5-4C25-85D1-1D5C262AB1C6}"/>
    <cellStyle name="Comma 4 4 2 4 4" xfId="10561" xr:uid="{EEFD21B4-80A2-4079-B1E8-2835C707115E}"/>
    <cellStyle name="Comma 4 4 2 4 5" xfId="19008" xr:uid="{966CAB42-6B3E-475D-A52A-DE6779C71569}"/>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AF9F9597-6DDD-4098-8946-0D4431727944}"/>
    <cellStyle name="Comma 4 4 2 5 2 2 3" xfId="25783" xr:uid="{CA58C600-7E95-49A1-9037-652E9EC91571}"/>
    <cellStyle name="Comma 4 4 2 5 2 3" xfId="13119" xr:uid="{A32D0B9A-ED27-4FB9-AE31-11FC379F1645}"/>
    <cellStyle name="Comma 4 4 2 5 2 4" xfId="21566" xr:uid="{1A95231C-1AC2-4506-876E-FB1F3B1E43FA}"/>
    <cellStyle name="Comma 4 4 2 5 3" xfId="5865" xr:uid="{00000000-0005-0000-0000-0000F1090000}"/>
    <cellStyle name="Comma 4 4 2 5 3 2" xfId="15191" xr:uid="{A3E34768-7499-467B-A49D-656305782DE2}"/>
    <cellStyle name="Comma 4 4 2 5 3 3" xfId="23638" xr:uid="{D2B100B3-0BEC-4D0F-8160-B8DF06522DE7}"/>
    <cellStyle name="Comma 4 4 2 5 4" xfId="10974" xr:uid="{9AE501B5-BB73-46E0-8DDF-3BA2FC800871}"/>
    <cellStyle name="Comma 4 4 2 5 5" xfId="19421" xr:uid="{7C4B9947-425D-4179-B1C9-1C966047538C}"/>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5E15F9E0-FE40-4390-8C8B-9418B3B08BCE}"/>
    <cellStyle name="Comma 4 4 2 6 2 2 3" xfId="26196" xr:uid="{4BF5608C-6096-4D55-99FF-EE2A883D57B4}"/>
    <cellStyle name="Comma 4 4 2 6 2 3" xfId="13532" xr:uid="{B8691D6E-2348-4477-9A79-883E7F999294}"/>
    <cellStyle name="Comma 4 4 2 6 2 4" xfId="21979" xr:uid="{3A773D43-6EE0-43A6-BE3C-F1B1AFB3C0BC}"/>
    <cellStyle name="Comma 4 4 2 6 3" xfId="6278" xr:uid="{00000000-0005-0000-0000-0000F5090000}"/>
    <cellStyle name="Comma 4 4 2 6 3 2" xfId="15604" xr:uid="{73377698-8D3D-41A6-931B-6B75A31EE66B}"/>
    <cellStyle name="Comma 4 4 2 6 3 3" xfId="24051" xr:uid="{D2573837-9D3C-427B-B749-A7815C2461F8}"/>
    <cellStyle name="Comma 4 4 2 6 4" xfId="11387" xr:uid="{3E542EAA-E4E5-4F7E-95FA-069030BE4B0E}"/>
    <cellStyle name="Comma 4 4 2 6 5" xfId="19834" xr:uid="{5694BBF9-7D97-455F-AF54-887DCE4CC60F}"/>
    <cellStyle name="Comma 4 4 2 7" xfId="2407" xr:uid="{00000000-0005-0000-0000-0000F6090000}"/>
    <cellStyle name="Comma 4 4 2 7 2" xfId="6691" xr:uid="{00000000-0005-0000-0000-0000F7090000}"/>
    <cellStyle name="Comma 4 4 2 7 2 2" xfId="16017" xr:uid="{5F5EB223-572A-4FF0-A235-99AA34EC9FB9}"/>
    <cellStyle name="Comma 4 4 2 7 2 3" xfId="24464" xr:uid="{60124076-CE43-4C53-B282-A48F4BE311A2}"/>
    <cellStyle name="Comma 4 4 2 7 3" xfId="11800" xr:uid="{191A5410-F57C-4A17-8EB6-BC4FD2B26127}"/>
    <cellStyle name="Comma 4 4 2 7 4" xfId="20247" xr:uid="{F719047C-60E8-4BFC-9744-D2B4EEB7A3A7}"/>
    <cellStyle name="Comma 4 4 2 8" xfId="2703" xr:uid="{00000000-0005-0000-0000-0000F8090000}"/>
    <cellStyle name="Comma 4 4 2 9" xfId="2785" xr:uid="{00000000-0005-0000-0000-0000F9090000}"/>
    <cellStyle name="Comma 4 4 2 9 2" xfId="7008" xr:uid="{00000000-0005-0000-0000-0000FA090000}"/>
    <cellStyle name="Comma 4 4 2 9 2 2" xfId="16334" xr:uid="{2F08B665-2707-4444-9A7D-91EDFAC09A3C}"/>
    <cellStyle name="Comma 4 4 2 9 2 3" xfId="24781" xr:uid="{D880AF06-2CF1-43AC-8EB2-F5F6E5CF3FAA}"/>
    <cellStyle name="Comma 4 4 2 9 3" xfId="12117" xr:uid="{87D12AD6-C59A-4C02-BA5B-5871635BB5DE}"/>
    <cellStyle name="Comma 4 4 2 9 4" xfId="20564" xr:uid="{6F92296E-EA4C-4B7B-BDC1-A4E0C5FD60F2}"/>
    <cellStyle name="Comma 4 4 3" xfId="156" xr:uid="{00000000-0005-0000-0000-0000FB090000}"/>
    <cellStyle name="Comma 4 4 3 10" xfId="9011" xr:uid="{31ED03AD-AB12-49AF-9AD4-B783F0BF7322}"/>
    <cellStyle name="Comma 4 4 3 11" xfId="9736" xr:uid="{BC029482-C5A1-4294-A5FF-5CBA0AB34E09}"/>
    <cellStyle name="Comma 4 4 3 12" xfId="18183" xr:uid="{3041896A-81F6-4EA9-9819-BAAFAC8BD200}"/>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D0D3CABE-DF27-47BB-861E-4D345DB53150}"/>
    <cellStyle name="Comma 4 4 3 2 2 2 3" xfId="24959" xr:uid="{FCD4779E-0078-4BFE-8697-C475C24055FA}"/>
    <cellStyle name="Comma 4 4 3 2 2 3" xfId="12295" xr:uid="{352E079E-9846-47E2-BC4D-28BF92D6108B}"/>
    <cellStyle name="Comma 4 4 3 2 2 4" xfId="20742" xr:uid="{841BC581-C007-4BA8-83B2-EB463DA77B9B}"/>
    <cellStyle name="Comma 4 4 3 2 3" xfId="5041" xr:uid="{00000000-0005-0000-0000-0000FF090000}"/>
    <cellStyle name="Comma 4 4 3 2 3 2" xfId="14367" xr:uid="{C457A435-3C9E-4FD0-AD9E-D1428F82533C}"/>
    <cellStyle name="Comma 4 4 3 2 3 3" xfId="22814" xr:uid="{623A0DDF-DE87-4F04-95D9-F582E27C72B2}"/>
    <cellStyle name="Comma 4 4 3 2 4" xfId="9436" xr:uid="{5B7DDC25-9095-4E8E-BD31-668F46BBD33F}"/>
    <cellStyle name="Comma 4 4 3 2 5" xfId="10150" xr:uid="{50C794FD-597D-4DF3-A267-B126543A9E88}"/>
    <cellStyle name="Comma 4 4 3 2 6" xfId="18597" xr:uid="{3323A694-27EF-44C3-8F11-ADB6367BAE92}"/>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45A7BFD6-8E90-4ECD-9B04-D9189365A944}"/>
    <cellStyle name="Comma 4 4 3 3 2 2 3" xfId="25372" xr:uid="{1925F93A-F209-417E-B422-B2C489C2ADE2}"/>
    <cellStyle name="Comma 4 4 3 3 2 3" xfId="12708" xr:uid="{125EA907-A52A-4E8F-A613-7E413EBA3E5C}"/>
    <cellStyle name="Comma 4 4 3 3 2 4" xfId="21155" xr:uid="{16EE8D7C-DE69-41CA-9FAB-10F3E76238BA}"/>
    <cellStyle name="Comma 4 4 3 3 3" xfId="5454" xr:uid="{00000000-0005-0000-0000-0000030A0000}"/>
    <cellStyle name="Comma 4 4 3 3 3 2" xfId="14780" xr:uid="{FCACA5AF-8033-4DDF-8B19-7FD6E481F5E9}"/>
    <cellStyle name="Comma 4 4 3 3 3 3" xfId="23227" xr:uid="{B75D9B7B-FBA5-4AA0-A8C1-425C2E555821}"/>
    <cellStyle name="Comma 4 4 3 3 4" xfId="10563" xr:uid="{B525B127-AEDE-432C-BEC3-614513D656B7}"/>
    <cellStyle name="Comma 4 4 3 3 5" xfId="19010" xr:uid="{2DA3CD9C-1594-4B6B-88EE-DCD94B84C7EB}"/>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AA8FEEFC-2639-49A4-BC67-1452806D20B2}"/>
    <cellStyle name="Comma 4 4 3 4 2 2 3" xfId="25785" xr:uid="{BE0417DB-C55F-4EB1-8A12-D5E5466CD95F}"/>
    <cellStyle name="Comma 4 4 3 4 2 3" xfId="13121" xr:uid="{B0AA37D3-4313-4CB3-83D9-BBBF53AECCA3}"/>
    <cellStyle name="Comma 4 4 3 4 2 4" xfId="21568" xr:uid="{37C31694-B2EC-4D33-A8F2-966421224ECC}"/>
    <cellStyle name="Comma 4 4 3 4 3" xfId="5867" xr:uid="{00000000-0005-0000-0000-0000070A0000}"/>
    <cellStyle name="Comma 4 4 3 4 3 2" xfId="15193" xr:uid="{C7D306E8-3905-4B78-8E60-4787B8A91540}"/>
    <cellStyle name="Comma 4 4 3 4 3 3" xfId="23640" xr:uid="{9902E408-AA60-4891-A9B4-B19AAD2AD2DF}"/>
    <cellStyle name="Comma 4 4 3 4 4" xfId="10976" xr:uid="{54F70A2F-49A9-44D5-8599-A76EAB88DAFD}"/>
    <cellStyle name="Comma 4 4 3 4 5" xfId="19423" xr:uid="{6CD03836-9FCA-459A-B4FB-14CFE303A20F}"/>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597BFA11-9A8E-4F04-A42E-4F2C3917F4D0}"/>
    <cellStyle name="Comma 4 4 3 5 2 2 3" xfId="26198" xr:uid="{73859D1F-B8EC-4747-AF9A-5F39C8811391}"/>
    <cellStyle name="Comma 4 4 3 5 2 3" xfId="13534" xr:uid="{E4E91D06-3CF2-4857-A412-B6BF3518A4F4}"/>
    <cellStyle name="Comma 4 4 3 5 2 4" xfId="21981" xr:uid="{D4BFAD33-D5DF-4B2C-ACC6-111F0E8BCDA4}"/>
    <cellStyle name="Comma 4 4 3 5 3" xfId="6280" xr:uid="{00000000-0005-0000-0000-00000B0A0000}"/>
    <cellStyle name="Comma 4 4 3 5 3 2" xfId="15606" xr:uid="{916FDF7B-0BF2-4D7B-B554-11EB868B2A87}"/>
    <cellStyle name="Comma 4 4 3 5 3 3" xfId="24053" xr:uid="{7C7631D0-C215-4978-867D-BAD2666B53A3}"/>
    <cellStyle name="Comma 4 4 3 5 4" xfId="11389" xr:uid="{5562C4EC-ED7E-4D9D-AE0B-55DA3294E3F7}"/>
    <cellStyle name="Comma 4 4 3 5 5" xfId="19836" xr:uid="{99A8CEF3-EE00-49EA-8AAC-643FC936B742}"/>
    <cellStyle name="Comma 4 4 3 6" xfId="2409" xr:uid="{00000000-0005-0000-0000-00000C0A0000}"/>
    <cellStyle name="Comma 4 4 3 6 2" xfId="6693" xr:uid="{00000000-0005-0000-0000-00000D0A0000}"/>
    <cellStyle name="Comma 4 4 3 6 2 2" xfId="16019" xr:uid="{1904945F-2145-4755-80E8-D60CEDB0AEC1}"/>
    <cellStyle name="Comma 4 4 3 6 2 3" xfId="24466" xr:uid="{B4BE83DC-00D7-47D6-A1D6-EF12AAD0503B}"/>
    <cellStyle name="Comma 4 4 3 6 3" xfId="11802" xr:uid="{6D54FCEC-259F-4EAB-90C5-21D036F3BA19}"/>
    <cellStyle name="Comma 4 4 3 6 4" xfId="20249" xr:uid="{37C3071E-C684-49EB-B8C8-3AB0987EC4D1}"/>
    <cellStyle name="Comma 4 4 3 7" xfId="2705" xr:uid="{00000000-0005-0000-0000-00000E0A0000}"/>
    <cellStyle name="Comma 4 4 3 8" xfId="2787" xr:uid="{00000000-0005-0000-0000-00000F0A0000}"/>
    <cellStyle name="Comma 4 4 3 8 2" xfId="7010" xr:uid="{00000000-0005-0000-0000-0000100A0000}"/>
    <cellStyle name="Comma 4 4 3 8 2 2" xfId="16336" xr:uid="{9282E3C0-3813-4C96-8BA0-B693E53678ED}"/>
    <cellStyle name="Comma 4 4 3 8 2 3" xfId="24783" xr:uid="{6DC6E209-CEF1-4383-AEB0-10366A8128A0}"/>
    <cellStyle name="Comma 4 4 3 8 3" xfId="12119" xr:uid="{FB21D373-5739-4247-924F-1CB1C769BF40}"/>
    <cellStyle name="Comma 4 4 3 8 4" xfId="20566" xr:uid="{D7B33F67-CCFC-47DA-80E1-2BB77953E0F5}"/>
    <cellStyle name="Comma 4 4 3 9" xfId="4627" xr:uid="{00000000-0005-0000-0000-0000110A0000}"/>
    <cellStyle name="Comma 4 4 3 9 2" xfId="13953" xr:uid="{23A5EF45-CBF5-4120-932E-C5E72A947E83}"/>
    <cellStyle name="Comma 4 4 3 9 3" xfId="22400" xr:uid="{09025F74-B632-4008-B665-FFDA28887FD4}"/>
    <cellStyle name="Comma 4 4 4" xfId="690" xr:uid="{00000000-0005-0000-0000-0000120A0000}"/>
    <cellStyle name="Comma 4 4 4 2" xfId="2961" xr:uid="{00000000-0005-0000-0000-0000130A0000}"/>
    <cellStyle name="Comma 4 4 4 2 2" xfId="7183" xr:uid="{00000000-0005-0000-0000-0000140A0000}"/>
    <cellStyle name="Comma 4 4 4 2 2 2" xfId="16509" xr:uid="{B1D917D7-3ACD-4C98-A13F-249EAB62B29D}"/>
    <cellStyle name="Comma 4 4 4 2 2 3" xfId="24956" xr:uid="{57ADF48C-12D5-4376-9F89-B8B138962435}"/>
    <cellStyle name="Comma 4 4 4 2 3" xfId="12292" xr:uid="{B9C907AD-97D9-468B-9B68-9CAAF0A0A632}"/>
    <cellStyle name="Comma 4 4 4 2 4" xfId="20739" xr:uid="{C50047AF-3F80-4859-B1F6-77EAC75E5531}"/>
    <cellStyle name="Comma 4 4 4 3" xfId="5038" xr:uid="{00000000-0005-0000-0000-0000150A0000}"/>
    <cellStyle name="Comma 4 4 4 3 2" xfId="14364" xr:uid="{A9AB48A9-4C3C-4E9A-BC56-843F74AFFF59}"/>
    <cellStyle name="Comma 4 4 4 3 3" xfId="22811" xr:uid="{613AD5E1-F1A1-4E1C-9232-16AEF9154A5A}"/>
    <cellStyle name="Comma 4 4 4 4" xfId="9229" xr:uid="{5D655A80-2199-4116-9BF2-7327D5827395}"/>
    <cellStyle name="Comma 4 4 4 5" xfId="10147" xr:uid="{03EA9A8C-A4AC-4EB0-A685-B89F5E064C51}"/>
    <cellStyle name="Comma 4 4 4 6" xfId="18594" xr:uid="{F9822E06-788C-4B65-9477-CD5B25228FE1}"/>
    <cellStyle name="Comma 4 4 5" xfId="1143" xr:uid="{00000000-0005-0000-0000-0000160A0000}"/>
    <cellStyle name="Comma 4 4 5 2" xfId="3374" xr:uid="{00000000-0005-0000-0000-0000170A0000}"/>
    <cellStyle name="Comma 4 4 5 2 2" xfId="7596" xr:uid="{00000000-0005-0000-0000-0000180A0000}"/>
    <cellStyle name="Comma 4 4 5 2 2 2" xfId="16922" xr:uid="{31283332-FAA8-43CD-B98F-EA46A7EDFA29}"/>
    <cellStyle name="Comma 4 4 5 2 2 3" xfId="25369" xr:uid="{C5C26954-8E09-4A0B-A080-B71ADED98B83}"/>
    <cellStyle name="Comma 4 4 5 2 3" xfId="12705" xr:uid="{10ED8426-E2CF-4119-B1EF-77DA39035A85}"/>
    <cellStyle name="Comma 4 4 5 2 4" xfId="21152" xr:uid="{978BA04F-A8F2-4A16-95F1-21FA9714DEC9}"/>
    <cellStyle name="Comma 4 4 5 3" xfId="5451" xr:uid="{00000000-0005-0000-0000-0000190A0000}"/>
    <cellStyle name="Comma 4 4 5 3 2" xfId="14777" xr:uid="{A1E62934-D281-4A68-B0A5-E546650ADDD6}"/>
    <cellStyle name="Comma 4 4 5 3 3" xfId="23224" xr:uid="{551B504D-3BE5-4E39-9A3C-F9AA3B3B2836}"/>
    <cellStyle name="Comma 4 4 5 4" xfId="10560" xr:uid="{007B2EAA-F057-47F4-99A1-0FAB0946753E}"/>
    <cellStyle name="Comma 4 4 5 5" xfId="19007" xr:uid="{7603AE85-581A-455A-ADB1-6D995D4A9A96}"/>
    <cellStyle name="Comma 4 4 6" xfId="1557" xr:uid="{00000000-0005-0000-0000-00001A0A0000}"/>
    <cellStyle name="Comma 4 4 6 2" xfId="3787" xr:uid="{00000000-0005-0000-0000-00001B0A0000}"/>
    <cellStyle name="Comma 4 4 6 2 2" xfId="8009" xr:uid="{00000000-0005-0000-0000-00001C0A0000}"/>
    <cellStyle name="Comma 4 4 6 2 2 2" xfId="17335" xr:uid="{49ED66FD-1E84-4E32-ACEC-51303567C161}"/>
    <cellStyle name="Comma 4 4 6 2 2 3" xfId="25782" xr:uid="{E9B1F943-E6B4-4147-A29D-3E8ABFB23685}"/>
    <cellStyle name="Comma 4 4 6 2 3" xfId="13118" xr:uid="{E5EA9A37-4EA6-4F30-8A30-B93422D6DC49}"/>
    <cellStyle name="Comma 4 4 6 2 4" xfId="21565" xr:uid="{75459EE5-8407-4B11-A21B-5E13213A3945}"/>
    <cellStyle name="Comma 4 4 6 3" xfId="5864" xr:uid="{00000000-0005-0000-0000-00001D0A0000}"/>
    <cellStyle name="Comma 4 4 6 3 2" xfId="15190" xr:uid="{08039275-1322-4C96-B2FC-41E101C3D7C5}"/>
    <cellStyle name="Comma 4 4 6 3 3" xfId="23637" xr:uid="{79665605-B99C-48F5-A1B9-AE520C0ECA70}"/>
    <cellStyle name="Comma 4 4 6 4" xfId="10973" xr:uid="{0BB11A8A-B263-46AE-8E5C-4FAD06E4A577}"/>
    <cellStyle name="Comma 4 4 6 5" xfId="19420" xr:uid="{2ED8E340-F890-43A9-B67B-A943A21C5F6B}"/>
    <cellStyle name="Comma 4 4 7" xfId="1971" xr:uid="{00000000-0005-0000-0000-00001E0A0000}"/>
    <cellStyle name="Comma 4 4 7 2" xfId="4200" xr:uid="{00000000-0005-0000-0000-00001F0A0000}"/>
    <cellStyle name="Comma 4 4 7 2 2" xfId="8422" xr:uid="{00000000-0005-0000-0000-0000200A0000}"/>
    <cellStyle name="Comma 4 4 7 2 2 2" xfId="17748" xr:uid="{0FD1D73B-9C64-403A-BFD0-5D62FD8C3914}"/>
    <cellStyle name="Comma 4 4 7 2 2 3" xfId="26195" xr:uid="{CA940753-1B63-42CA-8DFE-520BC8CF0B09}"/>
    <cellStyle name="Comma 4 4 7 2 3" xfId="13531" xr:uid="{26849894-31A1-499F-BDDD-1A2BB9C72849}"/>
    <cellStyle name="Comma 4 4 7 2 4" xfId="21978" xr:uid="{9C55A47B-2460-4158-82CD-E80F70B0C632}"/>
    <cellStyle name="Comma 4 4 7 3" xfId="6277" xr:uid="{00000000-0005-0000-0000-0000210A0000}"/>
    <cellStyle name="Comma 4 4 7 3 2" xfId="15603" xr:uid="{C0B56216-A627-468A-9BE6-3021DC58DC71}"/>
    <cellStyle name="Comma 4 4 7 3 3" xfId="24050" xr:uid="{919805D7-D613-42FA-9C7B-BF6E1D5619D1}"/>
    <cellStyle name="Comma 4 4 7 4" xfId="11386" xr:uid="{575F63B8-7594-49C5-B434-CBB4EC301FA6}"/>
    <cellStyle name="Comma 4 4 7 5" xfId="19833" xr:uid="{035FADFD-A2EB-4FBC-93C7-2A6E84C2CAD2}"/>
    <cellStyle name="Comma 4 4 8" xfId="2406" xr:uid="{00000000-0005-0000-0000-0000220A0000}"/>
    <cellStyle name="Comma 4 4 8 2" xfId="6690" xr:uid="{00000000-0005-0000-0000-0000230A0000}"/>
    <cellStyle name="Comma 4 4 8 2 2" xfId="16016" xr:uid="{3FFFA36A-12D9-4749-89EF-578F63473D0A}"/>
    <cellStyle name="Comma 4 4 8 2 3" xfId="24463" xr:uid="{36FB9519-A468-46A5-A6D2-A4803B83F313}"/>
    <cellStyle name="Comma 4 4 8 3" xfId="11799" xr:uid="{0DCF440C-2641-4C77-A2BC-9FB66B4E8DB5}"/>
    <cellStyle name="Comma 4 4 8 4" xfId="20246" xr:uid="{4BAB4387-4368-4593-A83D-01BBCDCA90D3}"/>
    <cellStyle name="Comma 4 4 9" xfId="2702" xr:uid="{00000000-0005-0000-0000-0000240A0000}"/>
    <cellStyle name="Comma 4 5" xfId="157" xr:uid="{00000000-0005-0000-0000-0000250A0000}"/>
    <cellStyle name="Comma 4 5 10" xfId="4628" xr:uid="{00000000-0005-0000-0000-0000260A0000}"/>
    <cellStyle name="Comma 4 5 10 2" xfId="13954" xr:uid="{64EB6BAE-C4D9-45B1-8FA5-832D2EEECECC}"/>
    <cellStyle name="Comma 4 5 10 3" xfId="22401" xr:uid="{76117118-49AA-4C90-B4FB-3159E96E8425}"/>
    <cellStyle name="Comma 4 5 11" xfId="8849" xr:uid="{344CCE08-63E3-41E8-B38A-00347480820F}"/>
    <cellStyle name="Comma 4 5 12" xfId="9737" xr:uid="{2ACFFBB9-5D41-419B-831F-12DEB835361D}"/>
    <cellStyle name="Comma 4 5 13" xfId="18184" xr:uid="{17D95415-707A-4F82-B144-4AD973DBF9AA}"/>
    <cellStyle name="Comma 4 5 2" xfId="158" xr:uid="{00000000-0005-0000-0000-0000270A0000}"/>
    <cellStyle name="Comma 4 5 2 10" xfId="9056" xr:uid="{C7C2153B-7EAA-4A13-9C28-1151ACD100A8}"/>
    <cellStyle name="Comma 4 5 2 11" xfId="9738" xr:uid="{511B3F5D-0CB1-43BA-B12D-6F4E99A2255F}"/>
    <cellStyle name="Comma 4 5 2 12" xfId="18185" xr:uid="{C86675C3-1782-4474-9BED-E4BFDBDB5742}"/>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058F0090-0B41-4319-A5B8-988F34F708E5}"/>
    <cellStyle name="Comma 4 5 2 2 2 2 3" xfId="24961" xr:uid="{0C327B9F-5390-4BDA-9CDD-B0ED8B03748B}"/>
    <cellStyle name="Comma 4 5 2 2 2 3" xfId="12297" xr:uid="{0F0494C4-C1F7-47EA-A9AB-53483A227C35}"/>
    <cellStyle name="Comma 4 5 2 2 2 4" xfId="20744" xr:uid="{8804312D-B1F0-4610-AE75-6C0475BCFCB1}"/>
    <cellStyle name="Comma 4 5 2 2 3" xfId="5043" xr:uid="{00000000-0005-0000-0000-00002B0A0000}"/>
    <cellStyle name="Comma 4 5 2 2 3 2" xfId="14369" xr:uid="{2BC98577-73E9-4461-B919-6075DA180C4A}"/>
    <cellStyle name="Comma 4 5 2 2 3 3" xfId="22816" xr:uid="{F0AD7D10-37A7-41C2-9373-370E2B17CB68}"/>
    <cellStyle name="Comma 4 5 2 2 4" xfId="9481" xr:uid="{47C88F6D-21B1-4457-908C-FFAB8FF83BD1}"/>
    <cellStyle name="Comma 4 5 2 2 5" xfId="10152" xr:uid="{9778D4C6-C4B2-40F0-A799-3A0F945A5663}"/>
    <cellStyle name="Comma 4 5 2 2 6" xfId="18599" xr:uid="{3A796DFB-94BD-4017-AC6B-014C65A9460E}"/>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ECAD0373-2A8B-468B-B31B-4C5A3E9FF275}"/>
    <cellStyle name="Comma 4 5 2 3 2 2 3" xfId="25374" xr:uid="{D123CB49-95AB-47D1-8698-2C3A6BFB9367}"/>
    <cellStyle name="Comma 4 5 2 3 2 3" xfId="12710" xr:uid="{DC862725-3304-4C34-A816-AE0A5432CC83}"/>
    <cellStyle name="Comma 4 5 2 3 2 4" xfId="21157" xr:uid="{0FDD99CC-52A9-4523-A029-470664EB9C83}"/>
    <cellStyle name="Comma 4 5 2 3 3" xfId="5456" xr:uid="{00000000-0005-0000-0000-00002F0A0000}"/>
    <cellStyle name="Comma 4 5 2 3 3 2" xfId="14782" xr:uid="{7541DF18-EFA7-4A65-9B2D-A642112A9B81}"/>
    <cellStyle name="Comma 4 5 2 3 3 3" xfId="23229" xr:uid="{CB0856B9-9211-4789-ACAA-8A17277FDFC4}"/>
    <cellStyle name="Comma 4 5 2 3 4" xfId="10565" xr:uid="{F1EFE543-24ED-4D4D-B9B9-608BD86D67A2}"/>
    <cellStyle name="Comma 4 5 2 3 5" xfId="19012" xr:uid="{015868AF-0D82-44B4-8874-938B1AE27B68}"/>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F2F3ED13-A7F3-4D26-96CA-F31F13C54A86}"/>
    <cellStyle name="Comma 4 5 2 4 2 2 3" xfId="25787" xr:uid="{7CF2416F-3EF1-454B-BB13-F96087E16D46}"/>
    <cellStyle name="Comma 4 5 2 4 2 3" xfId="13123" xr:uid="{D463ECA9-813A-487C-A295-177008A6B4CE}"/>
    <cellStyle name="Comma 4 5 2 4 2 4" xfId="21570" xr:uid="{CE9AB180-29BC-4543-9133-703071E68626}"/>
    <cellStyle name="Comma 4 5 2 4 3" xfId="5869" xr:uid="{00000000-0005-0000-0000-0000330A0000}"/>
    <cellStyle name="Comma 4 5 2 4 3 2" xfId="15195" xr:uid="{72DD8727-B843-482A-9270-B9B32CC72FF9}"/>
    <cellStyle name="Comma 4 5 2 4 3 3" xfId="23642" xr:uid="{85491181-265E-4780-8707-88D86A0ADB71}"/>
    <cellStyle name="Comma 4 5 2 4 4" xfId="10978" xr:uid="{ABFD2752-566C-4CAC-A554-6F42C41B285B}"/>
    <cellStyle name="Comma 4 5 2 4 5" xfId="19425" xr:uid="{20000578-DFC6-4B58-A2E2-0DDBE6EADCD3}"/>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58FF5E70-B547-4853-961C-AB722570A7D1}"/>
    <cellStyle name="Comma 4 5 2 5 2 2 3" xfId="26200" xr:uid="{E82CB02A-5EA1-417C-8FC1-E336ACB1D937}"/>
    <cellStyle name="Comma 4 5 2 5 2 3" xfId="13536" xr:uid="{F58041F5-4534-48E8-8AEE-D49988081D9E}"/>
    <cellStyle name="Comma 4 5 2 5 2 4" xfId="21983" xr:uid="{33F59A93-6D21-4D65-ADAC-924EA4D3412F}"/>
    <cellStyle name="Comma 4 5 2 5 3" xfId="6282" xr:uid="{00000000-0005-0000-0000-0000370A0000}"/>
    <cellStyle name="Comma 4 5 2 5 3 2" xfId="15608" xr:uid="{30A6F929-F0E7-4D46-925D-A19A9D36721B}"/>
    <cellStyle name="Comma 4 5 2 5 3 3" xfId="24055" xr:uid="{5908B500-CEE4-4322-81C6-543CE773C1AE}"/>
    <cellStyle name="Comma 4 5 2 5 4" xfId="11391" xr:uid="{B65510B8-A2E4-4725-AE88-624DBC4AA24B}"/>
    <cellStyle name="Comma 4 5 2 5 5" xfId="19838" xr:uid="{D7796E6C-4903-4872-9833-A1C573BF25E2}"/>
    <cellStyle name="Comma 4 5 2 6" xfId="2411" xr:uid="{00000000-0005-0000-0000-0000380A0000}"/>
    <cellStyle name="Comma 4 5 2 6 2" xfId="6695" xr:uid="{00000000-0005-0000-0000-0000390A0000}"/>
    <cellStyle name="Comma 4 5 2 6 2 2" xfId="16021" xr:uid="{AD366571-8797-4CC3-9F10-1789ABF5E462}"/>
    <cellStyle name="Comma 4 5 2 6 2 3" xfId="24468" xr:uid="{D72D7E32-14AF-462F-A3DA-E3ED73A2D09F}"/>
    <cellStyle name="Comma 4 5 2 6 3" xfId="11804" xr:uid="{76F5A6A9-320F-47FE-8A3B-9C402F8E7BEA}"/>
    <cellStyle name="Comma 4 5 2 6 4" xfId="20251" xr:uid="{7FE8EFA8-4315-4C8D-B623-985285A64488}"/>
    <cellStyle name="Comma 4 5 2 7" xfId="2707" xr:uid="{00000000-0005-0000-0000-00003A0A0000}"/>
    <cellStyle name="Comma 4 5 2 8" xfId="2789" xr:uid="{00000000-0005-0000-0000-00003B0A0000}"/>
    <cellStyle name="Comma 4 5 2 8 2" xfId="7012" xr:uid="{00000000-0005-0000-0000-00003C0A0000}"/>
    <cellStyle name="Comma 4 5 2 8 2 2" xfId="16338" xr:uid="{EB77C688-3E1D-4229-8421-AE6274EE5118}"/>
    <cellStyle name="Comma 4 5 2 8 2 3" xfId="24785" xr:uid="{31342F63-0856-4926-A6D0-8D9AD87BF788}"/>
    <cellStyle name="Comma 4 5 2 8 3" xfId="12121" xr:uid="{6B8C5EFC-EB7F-4568-8835-EC3DC122DCF5}"/>
    <cellStyle name="Comma 4 5 2 8 4" xfId="20568" xr:uid="{51851C52-7F3C-406A-BB4F-2CFD10DFF78F}"/>
    <cellStyle name="Comma 4 5 2 9" xfId="4629" xr:uid="{00000000-0005-0000-0000-00003D0A0000}"/>
    <cellStyle name="Comma 4 5 2 9 2" xfId="13955" xr:uid="{4C2AE9E5-3A2D-463B-A319-1F212A9BFC9F}"/>
    <cellStyle name="Comma 4 5 2 9 3" xfId="22402" xr:uid="{7C32DB98-E53F-42E5-B826-71DC71AC025C}"/>
    <cellStyle name="Comma 4 5 3" xfId="694" xr:uid="{00000000-0005-0000-0000-00003E0A0000}"/>
    <cellStyle name="Comma 4 5 3 2" xfId="2965" xr:uid="{00000000-0005-0000-0000-00003F0A0000}"/>
    <cellStyle name="Comma 4 5 3 2 2" xfId="7187" xr:uid="{00000000-0005-0000-0000-0000400A0000}"/>
    <cellStyle name="Comma 4 5 3 2 2 2" xfId="16513" xr:uid="{8C3632C7-879A-4BF0-9BC1-3801AB9202A8}"/>
    <cellStyle name="Comma 4 5 3 2 2 3" xfId="24960" xr:uid="{32315E99-7C41-4513-915C-5610691FDBB5}"/>
    <cellStyle name="Comma 4 5 3 2 3" xfId="12296" xr:uid="{B44BE04C-D8C9-4BBA-80FC-8CC4C5813641}"/>
    <cellStyle name="Comma 4 5 3 2 4" xfId="20743" xr:uid="{ED4E478F-6295-4D39-A06C-C5518AE87FC3}"/>
    <cellStyle name="Comma 4 5 3 3" xfId="5042" xr:uid="{00000000-0005-0000-0000-0000410A0000}"/>
    <cellStyle name="Comma 4 5 3 3 2" xfId="14368" xr:uid="{F810E1EE-279B-4A55-80D5-339384179F71}"/>
    <cellStyle name="Comma 4 5 3 3 3" xfId="22815" xr:uid="{056A7505-3770-4F34-8141-1E311D1A5B82}"/>
    <cellStyle name="Comma 4 5 3 4" xfId="9274" xr:uid="{04AC3EF2-4A78-4DC5-BAB4-87936023C7E5}"/>
    <cellStyle name="Comma 4 5 3 5" xfId="10151" xr:uid="{8E3BA880-9A88-4D95-B509-8C22C3048505}"/>
    <cellStyle name="Comma 4 5 3 6" xfId="18598" xr:uid="{46C1647E-7DD2-4513-B93E-63D90740F1B1}"/>
    <cellStyle name="Comma 4 5 4" xfId="1147" xr:uid="{00000000-0005-0000-0000-0000420A0000}"/>
    <cellStyle name="Comma 4 5 4 2" xfId="3378" xr:uid="{00000000-0005-0000-0000-0000430A0000}"/>
    <cellStyle name="Comma 4 5 4 2 2" xfId="7600" xr:uid="{00000000-0005-0000-0000-0000440A0000}"/>
    <cellStyle name="Comma 4 5 4 2 2 2" xfId="16926" xr:uid="{92633B34-1F08-4A22-A7F4-4211F921AD6C}"/>
    <cellStyle name="Comma 4 5 4 2 2 3" xfId="25373" xr:uid="{3734B3B9-812E-414C-A93A-C7D9B2173825}"/>
    <cellStyle name="Comma 4 5 4 2 3" xfId="12709" xr:uid="{3FF0E8DF-34FC-4010-A1DD-30F1C92FB94D}"/>
    <cellStyle name="Comma 4 5 4 2 4" xfId="21156" xr:uid="{259615F9-AA8D-4E5C-A07E-7862D17B3B9B}"/>
    <cellStyle name="Comma 4 5 4 3" xfId="5455" xr:uid="{00000000-0005-0000-0000-0000450A0000}"/>
    <cellStyle name="Comma 4 5 4 3 2" xfId="14781" xr:uid="{0355E95D-AF74-4960-A255-804DA7C1EB80}"/>
    <cellStyle name="Comma 4 5 4 3 3" xfId="23228" xr:uid="{F8A090FB-28D1-4C5E-86A2-57C31000EFEF}"/>
    <cellStyle name="Comma 4 5 4 4" xfId="10564" xr:uid="{CDA1AAF1-A0A1-47D0-9125-9E9D67D7283C}"/>
    <cellStyle name="Comma 4 5 4 5" xfId="19011" xr:uid="{366CABDA-7361-4687-9A98-864D3C1577D7}"/>
    <cellStyle name="Comma 4 5 5" xfId="1561" xr:uid="{00000000-0005-0000-0000-0000460A0000}"/>
    <cellStyle name="Comma 4 5 5 2" xfId="3791" xr:uid="{00000000-0005-0000-0000-0000470A0000}"/>
    <cellStyle name="Comma 4 5 5 2 2" xfId="8013" xr:uid="{00000000-0005-0000-0000-0000480A0000}"/>
    <cellStyle name="Comma 4 5 5 2 2 2" xfId="17339" xr:uid="{CA85E5A4-505C-44B6-A447-282CB2D1B9BA}"/>
    <cellStyle name="Comma 4 5 5 2 2 3" xfId="25786" xr:uid="{20E4A059-82F3-4AE8-B8DC-9A9F5BEB7CCE}"/>
    <cellStyle name="Comma 4 5 5 2 3" xfId="13122" xr:uid="{09FE345E-AE21-427C-94E8-D9AB05D43646}"/>
    <cellStyle name="Comma 4 5 5 2 4" xfId="21569" xr:uid="{00CF12A6-1F50-4D39-8919-57F72F55638C}"/>
    <cellStyle name="Comma 4 5 5 3" xfId="5868" xr:uid="{00000000-0005-0000-0000-0000490A0000}"/>
    <cellStyle name="Comma 4 5 5 3 2" xfId="15194" xr:uid="{5815B50E-7A54-48DA-B4AB-96427E842B39}"/>
    <cellStyle name="Comma 4 5 5 3 3" xfId="23641" xr:uid="{179EC4D3-81CF-4A41-9EE4-45AA03FFAB41}"/>
    <cellStyle name="Comma 4 5 5 4" xfId="10977" xr:uid="{1ACE908E-461D-4931-9556-AFFEF7CEBDE1}"/>
    <cellStyle name="Comma 4 5 5 5" xfId="19424" xr:uid="{A5D7FC13-9FAE-48BA-BD4F-F73C489A34B6}"/>
    <cellStyle name="Comma 4 5 6" xfId="1975" xr:uid="{00000000-0005-0000-0000-00004A0A0000}"/>
    <cellStyle name="Comma 4 5 6 2" xfId="4204" xr:uid="{00000000-0005-0000-0000-00004B0A0000}"/>
    <cellStyle name="Comma 4 5 6 2 2" xfId="8426" xr:uid="{00000000-0005-0000-0000-00004C0A0000}"/>
    <cellStyle name="Comma 4 5 6 2 2 2" xfId="17752" xr:uid="{7E80A04B-7069-41EB-A793-E498424D9676}"/>
    <cellStyle name="Comma 4 5 6 2 2 3" xfId="26199" xr:uid="{80F1B14A-8A0A-4FF2-ACF5-6F7E5397B977}"/>
    <cellStyle name="Comma 4 5 6 2 3" xfId="13535" xr:uid="{CF0FAAAC-BE96-4E8E-864E-3121A3556E93}"/>
    <cellStyle name="Comma 4 5 6 2 4" xfId="21982" xr:uid="{35EB53E1-8244-4001-8C69-C4811D087F7C}"/>
    <cellStyle name="Comma 4 5 6 3" xfId="6281" xr:uid="{00000000-0005-0000-0000-00004D0A0000}"/>
    <cellStyle name="Comma 4 5 6 3 2" xfId="15607" xr:uid="{E354D659-522D-4679-A7D0-EB5964B35AE5}"/>
    <cellStyle name="Comma 4 5 6 3 3" xfId="24054" xr:uid="{A225436C-0CCC-4A82-9A2D-C70654A36532}"/>
    <cellStyle name="Comma 4 5 6 4" xfId="11390" xr:uid="{9956F946-F587-4AFF-A9B2-E63B86DAC690}"/>
    <cellStyle name="Comma 4 5 6 5" xfId="19837" xr:uid="{CA75D824-A9F3-4122-BEB2-511A8516E30F}"/>
    <cellStyle name="Comma 4 5 7" xfId="2410" xr:uid="{00000000-0005-0000-0000-00004E0A0000}"/>
    <cellStyle name="Comma 4 5 7 2" xfId="6694" xr:uid="{00000000-0005-0000-0000-00004F0A0000}"/>
    <cellStyle name="Comma 4 5 7 2 2" xfId="16020" xr:uid="{657927BC-350D-41EA-B543-CF5F0EF82EF7}"/>
    <cellStyle name="Comma 4 5 7 2 3" xfId="24467" xr:uid="{7E2CD924-338F-4C18-9CC2-9031687FD228}"/>
    <cellStyle name="Comma 4 5 7 3" xfId="11803" xr:uid="{35C8F45C-A0FD-4DCD-B544-B1A2F829C1F8}"/>
    <cellStyle name="Comma 4 5 7 4" xfId="20250" xr:uid="{4B5CCA64-0C8D-48A9-A534-BFEBB4EC9C1C}"/>
    <cellStyle name="Comma 4 5 8" xfId="2706" xr:uid="{00000000-0005-0000-0000-0000500A0000}"/>
    <cellStyle name="Comma 4 5 9" xfId="2788" xr:uid="{00000000-0005-0000-0000-0000510A0000}"/>
    <cellStyle name="Comma 4 5 9 2" xfId="7011" xr:uid="{00000000-0005-0000-0000-0000520A0000}"/>
    <cellStyle name="Comma 4 5 9 2 2" xfId="16337" xr:uid="{14368548-5591-42CB-89AF-3AD42295C296}"/>
    <cellStyle name="Comma 4 5 9 2 3" xfId="24784" xr:uid="{D8FB98EF-4DC2-4E25-9911-94CF494E6261}"/>
    <cellStyle name="Comma 4 5 9 3" xfId="12120" xr:uid="{06946FBC-19B3-47EB-9682-F17E63DD9027}"/>
    <cellStyle name="Comma 4 5 9 4" xfId="20567" xr:uid="{AD395128-50E0-43BE-9682-971260A3E096}"/>
    <cellStyle name="Comma 4 6" xfId="159" xr:uid="{00000000-0005-0000-0000-0000530A0000}"/>
    <cellStyle name="Comma 4 6 10" xfId="8965" xr:uid="{FDA33E7D-96B8-46F2-87D8-5CB6C30A4CC6}"/>
    <cellStyle name="Comma 4 6 11" xfId="9739" xr:uid="{DC05A53A-AFDE-489C-84C5-8551FDEFF094}"/>
    <cellStyle name="Comma 4 6 12" xfId="18186" xr:uid="{1C57EACC-4168-4C4E-B097-2E50817A910E}"/>
    <cellStyle name="Comma 4 6 2" xfId="696" xr:uid="{00000000-0005-0000-0000-0000540A0000}"/>
    <cellStyle name="Comma 4 6 2 2" xfId="2967" xr:uid="{00000000-0005-0000-0000-0000550A0000}"/>
    <cellStyle name="Comma 4 6 2 2 2" xfId="7189" xr:uid="{00000000-0005-0000-0000-0000560A0000}"/>
    <cellStyle name="Comma 4 6 2 2 2 2" xfId="16515" xr:uid="{FE1FE337-FB42-4033-815D-68DE8B69DA6D}"/>
    <cellStyle name="Comma 4 6 2 2 2 3" xfId="24962" xr:uid="{E0F65F08-43B4-4F8D-B9F9-3C8975CACD28}"/>
    <cellStyle name="Comma 4 6 2 2 3" xfId="12298" xr:uid="{9FAC3610-3629-4BEB-8C5B-8945D460DDBE}"/>
    <cellStyle name="Comma 4 6 2 2 4" xfId="20745" xr:uid="{59C466CC-D6DA-4820-836E-13A5C5A26F1E}"/>
    <cellStyle name="Comma 4 6 2 3" xfId="5044" xr:uid="{00000000-0005-0000-0000-0000570A0000}"/>
    <cellStyle name="Comma 4 6 2 3 2" xfId="14370" xr:uid="{8F055414-8153-4095-9BD6-E792A6A19C06}"/>
    <cellStyle name="Comma 4 6 2 3 3" xfId="22817" xr:uid="{64DAB999-D9B5-40F3-9ED1-8BF7C1F9405C}"/>
    <cellStyle name="Comma 4 6 2 4" xfId="9390" xr:uid="{F8012948-A58F-476A-B4CF-A63C8F36D5B6}"/>
    <cellStyle name="Comma 4 6 2 5" xfId="10153" xr:uid="{2DAC5D9A-009F-41AE-AF3C-31F988641324}"/>
    <cellStyle name="Comma 4 6 2 6" xfId="18600" xr:uid="{A77A25A1-D735-4897-B8BB-B6ECC5231936}"/>
    <cellStyle name="Comma 4 6 3" xfId="1149" xr:uid="{00000000-0005-0000-0000-0000580A0000}"/>
    <cellStyle name="Comma 4 6 3 2" xfId="3380" xr:uid="{00000000-0005-0000-0000-0000590A0000}"/>
    <cellStyle name="Comma 4 6 3 2 2" xfId="7602" xr:uid="{00000000-0005-0000-0000-00005A0A0000}"/>
    <cellStyle name="Comma 4 6 3 2 2 2" xfId="16928" xr:uid="{E2AA7A13-AD85-46BB-AEE6-DFB78527B886}"/>
    <cellStyle name="Comma 4 6 3 2 2 3" xfId="25375" xr:uid="{1249985B-60F2-431D-B0A7-F4D56C8A6392}"/>
    <cellStyle name="Comma 4 6 3 2 3" xfId="12711" xr:uid="{160349F4-AD53-4020-AE18-583C7D4A9FAF}"/>
    <cellStyle name="Comma 4 6 3 2 4" xfId="21158" xr:uid="{6DD6827F-CCF5-4A5C-836C-1D3D9F7D51C7}"/>
    <cellStyle name="Comma 4 6 3 3" xfId="5457" xr:uid="{00000000-0005-0000-0000-00005B0A0000}"/>
    <cellStyle name="Comma 4 6 3 3 2" xfId="14783" xr:uid="{B373E1CE-54DC-4BA2-A1A8-6C4FEAC277D7}"/>
    <cellStyle name="Comma 4 6 3 3 3" xfId="23230" xr:uid="{99736900-1165-4F85-9419-0376B5F07E68}"/>
    <cellStyle name="Comma 4 6 3 4" xfId="10566" xr:uid="{815C30B7-E24D-4BFC-ABC2-7B4BA82A187D}"/>
    <cellStyle name="Comma 4 6 3 5" xfId="19013" xr:uid="{0F143A90-1A66-4F9D-83B3-743F168F2F8C}"/>
    <cellStyle name="Comma 4 6 4" xfId="1563" xr:uid="{00000000-0005-0000-0000-00005C0A0000}"/>
    <cellStyle name="Comma 4 6 4 2" xfId="3793" xr:uid="{00000000-0005-0000-0000-00005D0A0000}"/>
    <cellStyle name="Comma 4 6 4 2 2" xfId="8015" xr:uid="{00000000-0005-0000-0000-00005E0A0000}"/>
    <cellStyle name="Comma 4 6 4 2 2 2" xfId="17341" xr:uid="{DA0C3104-7725-469B-9756-7D19A11DC662}"/>
    <cellStyle name="Comma 4 6 4 2 2 3" xfId="25788" xr:uid="{FF24E1AD-64E0-42DE-BC31-4290A8052407}"/>
    <cellStyle name="Comma 4 6 4 2 3" xfId="13124" xr:uid="{04F0E9B1-21DC-4878-9C13-E871AB173957}"/>
    <cellStyle name="Comma 4 6 4 2 4" xfId="21571" xr:uid="{83EBF1E1-73BA-4F56-BD64-95F2E27C1FA7}"/>
    <cellStyle name="Comma 4 6 4 3" xfId="5870" xr:uid="{00000000-0005-0000-0000-00005F0A0000}"/>
    <cellStyle name="Comma 4 6 4 3 2" xfId="15196" xr:uid="{D8BB1B23-34DB-45C3-97B9-DECA623036FB}"/>
    <cellStyle name="Comma 4 6 4 3 3" xfId="23643" xr:uid="{F8070D55-9B5D-4AE3-8FDA-EA28BB5B61AB}"/>
    <cellStyle name="Comma 4 6 4 4" xfId="10979" xr:uid="{01E6CF08-09AD-46EB-99E0-B3A40F759B67}"/>
    <cellStyle name="Comma 4 6 4 5" xfId="19426" xr:uid="{3499F1C2-ACF4-482F-94DF-821022D2B1E3}"/>
    <cellStyle name="Comma 4 6 5" xfId="1977" xr:uid="{00000000-0005-0000-0000-0000600A0000}"/>
    <cellStyle name="Comma 4 6 5 2" xfId="4206" xr:uid="{00000000-0005-0000-0000-0000610A0000}"/>
    <cellStyle name="Comma 4 6 5 2 2" xfId="8428" xr:uid="{00000000-0005-0000-0000-0000620A0000}"/>
    <cellStyle name="Comma 4 6 5 2 2 2" xfId="17754" xr:uid="{EFF08A0D-3942-4ED4-8656-D1F2C0E54CFA}"/>
    <cellStyle name="Comma 4 6 5 2 2 3" xfId="26201" xr:uid="{4455622C-9447-4855-A5B7-6E95D56413D9}"/>
    <cellStyle name="Comma 4 6 5 2 3" xfId="13537" xr:uid="{DC85DD36-0386-4C40-9287-614E41BF92EA}"/>
    <cellStyle name="Comma 4 6 5 2 4" xfId="21984" xr:uid="{9BB04D79-F62F-46F0-8A07-22BD29BC2BCC}"/>
    <cellStyle name="Comma 4 6 5 3" xfId="6283" xr:uid="{00000000-0005-0000-0000-0000630A0000}"/>
    <cellStyle name="Comma 4 6 5 3 2" xfId="15609" xr:uid="{C58093AB-8290-4A41-ACF7-66169C03A7A8}"/>
    <cellStyle name="Comma 4 6 5 3 3" xfId="24056" xr:uid="{632ADF26-C560-489E-A86A-2B43FCBF9B4C}"/>
    <cellStyle name="Comma 4 6 5 4" xfId="11392" xr:uid="{088A4E48-4B76-4F73-9C59-B7C09E19B3AA}"/>
    <cellStyle name="Comma 4 6 5 5" xfId="19839" xr:uid="{55DB3100-A4CA-4656-91E6-4B0BD5C6E220}"/>
    <cellStyle name="Comma 4 6 6" xfId="2412" xr:uid="{00000000-0005-0000-0000-0000640A0000}"/>
    <cellStyle name="Comma 4 6 6 2" xfId="6696" xr:uid="{00000000-0005-0000-0000-0000650A0000}"/>
    <cellStyle name="Comma 4 6 6 2 2" xfId="16022" xr:uid="{A89063D7-F523-46BB-A561-AC1DB3BEE778}"/>
    <cellStyle name="Comma 4 6 6 2 3" xfId="24469" xr:uid="{3E68F60B-6D66-4D67-AEF5-9D9B0A55B4F2}"/>
    <cellStyle name="Comma 4 6 6 3" xfId="11805" xr:uid="{882F4B0A-767C-48AF-A645-B448ACB02259}"/>
    <cellStyle name="Comma 4 6 6 4" xfId="20252" xr:uid="{0525BCD1-53AC-482D-B634-F2824B86F0AD}"/>
    <cellStyle name="Comma 4 6 7" xfId="2708" xr:uid="{00000000-0005-0000-0000-0000660A0000}"/>
    <cellStyle name="Comma 4 6 8" xfId="2790" xr:uid="{00000000-0005-0000-0000-0000670A0000}"/>
    <cellStyle name="Comma 4 6 8 2" xfId="7013" xr:uid="{00000000-0005-0000-0000-0000680A0000}"/>
    <cellStyle name="Comma 4 6 8 2 2" xfId="16339" xr:uid="{D14AA42B-4980-4B5D-84F5-D40B3AA58DC9}"/>
    <cellStyle name="Comma 4 6 8 2 3" xfId="24786" xr:uid="{5912CBD4-FE87-4947-93AD-88665F7A0107}"/>
    <cellStyle name="Comma 4 6 8 3" xfId="12122" xr:uid="{82827406-5AC4-4127-8223-13663B1A7FC8}"/>
    <cellStyle name="Comma 4 6 8 4" xfId="20569" xr:uid="{1F578255-98FB-4361-9194-B9FE558328AE}"/>
    <cellStyle name="Comma 4 6 9" xfId="4630" xr:uid="{00000000-0005-0000-0000-0000690A0000}"/>
    <cellStyle name="Comma 4 6 9 2" xfId="13956" xr:uid="{BFB49EC6-C22B-4A6D-84EA-A45A4B8F29C1}"/>
    <cellStyle name="Comma 4 6 9 3" xfId="22403" xr:uid="{B905B2A2-6008-45E1-A701-95FA6D35692D}"/>
    <cellStyle name="Comma 4 7" xfId="160" xr:uid="{00000000-0005-0000-0000-00006A0A0000}"/>
    <cellStyle name="Comma 4 7 10" xfId="9168" xr:uid="{C5EF0C72-87BD-43A9-8A23-92F9D9423F50}"/>
    <cellStyle name="Comma 4 7 11" xfId="9740" xr:uid="{04D9B47A-A293-40CF-A12B-9A986DCDB157}"/>
    <cellStyle name="Comma 4 7 12" xfId="18187" xr:uid="{1C4090F2-B3EB-4024-9481-46DFB956B4C0}"/>
    <cellStyle name="Comma 4 7 2" xfId="697" xr:uid="{00000000-0005-0000-0000-00006B0A0000}"/>
    <cellStyle name="Comma 4 7 2 2" xfId="2968" xr:uid="{00000000-0005-0000-0000-00006C0A0000}"/>
    <cellStyle name="Comma 4 7 2 2 2" xfId="7190" xr:uid="{00000000-0005-0000-0000-00006D0A0000}"/>
    <cellStyle name="Comma 4 7 2 2 2 2" xfId="16516" xr:uid="{4A45551D-654E-47E9-A759-4AA9AD9A31A5}"/>
    <cellStyle name="Comma 4 7 2 2 2 3" xfId="24963" xr:uid="{89EEC376-8A79-42D7-9FB6-B59C77239D1E}"/>
    <cellStyle name="Comma 4 7 2 2 3" xfId="12299" xr:uid="{F5F0FE5B-F62D-4557-835A-2E5B33CEE612}"/>
    <cellStyle name="Comma 4 7 2 2 4" xfId="20746" xr:uid="{C340574B-799D-41C0-8456-110DD49D2B49}"/>
    <cellStyle name="Comma 4 7 2 3" xfId="5045" xr:uid="{00000000-0005-0000-0000-00006E0A0000}"/>
    <cellStyle name="Comma 4 7 2 3 2" xfId="14371" xr:uid="{FFB74B51-7C47-4DDF-A80E-9AA83DFAA8C4}"/>
    <cellStyle name="Comma 4 7 2 3 3" xfId="22818" xr:uid="{19F3C2AC-1773-49BE-88B7-98F173A7E05A}"/>
    <cellStyle name="Comma 4 7 2 4" xfId="9596" xr:uid="{F4A1C070-02C1-4F2A-89F2-15465D9BEBB2}"/>
    <cellStyle name="Comma 4 7 2 5" xfId="10154" xr:uid="{AAF91FF9-AD07-43E2-BCE4-A85703161BAB}"/>
    <cellStyle name="Comma 4 7 2 6" xfId="18601" xr:uid="{7ADDDEC5-2BBE-4D15-812C-B327CD3354EB}"/>
    <cellStyle name="Comma 4 7 3" xfId="1150" xr:uid="{00000000-0005-0000-0000-00006F0A0000}"/>
    <cellStyle name="Comma 4 7 3 2" xfId="3381" xr:uid="{00000000-0005-0000-0000-0000700A0000}"/>
    <cellStyle name="Comma 4 7 3 2 2" xfId="7603" xr:uid="{00000000-0005-0000-0000-0000710A0000}"/>
    <cellStyle name="Comma 4 7 3 2 2 2" xfId="16929" xr:uid="{CDA8465D-A4B4-4034-9E3A-98A9523AFC4F}"/>
    <cellStyle name="Comma 4 7 3 2 2 3" xfId="25376" xr:uid="{0B55526D-58CB-4579-A0D5-2DD7132CA610}"/>
    <cellStyle name="Comma 4 7 3 2 3" xfId="12712" xr:uid="{5FCAF97D-F276-40E6-BE52-5CE62D035759}"/>
    <cellStyle name="Comma 4 7 3 2 4" xfId="21159" xr:uid="{D51158BA-28D9-49D5-BDDC-B858F66E744C}"/>
    <cellStyle name="Comma 4 7 3 3" xfId="5458" xr:uid="{00000000-0005-0000-0000-0000720A0000}"/>
    <cellStyle name="Comma 4 7 3 3 2" xfId="14784" xr:uid="{AE18CB4C-A235-439F-810E-A7B3F5C11FC1}"/>
    <cellStyle name="Comma 4 7 3 3 3" xfId="23231" xr:uid="{9DAE82A8-082C-49EB-AFBB-42EF48CB7554}"/>
    <cellStyle name="Comma 4 7 3 4" xfId="10567" xr:uid="{040AE80D-8A07-47A5-B3CC-CA24DCA552ED}"/>
    <cellStyle name="Comma 4 7 3 5" xfId="19014" xr:uid="{06FC6EAD-03EA-4699-8775-50D2B8FA6C71}"/>
    <cellStyle name="Comma 4 7 4" xfId="1564" xr:uid="{00000000-0005-0000-0000-0000730A0000}"/>
    <cellStyle name="Comma 4 7 4 2" xfId="3794" xr:uid="{00000000-0005-0000-0000-0000740A0000}"/>
    <cellStyle name="Comma 4 7 4 2 2" xfId="8016" xr:uid="{00000000-0005-0000-0000-0000750A0000}"/>
    <cellStyle name="Comma 4 7 4 2 2 2" xfId="17342" xr:uid="{666A2B33-1A50-49F5-89CD-43C56CDF2DA6}"/>
    <cellStyle name="Comma 4 7 4 2 2 3" xfId="25789" xr:uid="{D44BB64F-CAA9-4C4E-8FC7-AD1AF179FBBA}"/>
    <cellStyle name="Comma 4 7 4 2 3" xfId="13125" xr:uid="{272686D7-C426-4419-B365-4E6F0263F89B}"/>
    <cellStyle name="Comma 4 7 4 2 4" xfId="21572" xr:uid="{56C084F6-2F77-4F97-B225-D068A512DC96}"/>
    <cellStyle name="Comma 4 7 4 3" xfId="5871" xr:uid="{00000000-0005-0000-0000-0000760A0000}"/>
    <cellStyle name="Comma 4 7 4 3 2" xfId="15197" xr:uid="{1D535DC9-9CD6-424C-A91D-458C550B1B5B}"/>
    <cellStyle name="Comma 4 7 4 3 3" xfId="23644" xr:uid="{9A46792D-4CAD-46D3-B012-247DC94129D6}"/>
    <cellStyle name="Comma 4 7 4 4" xfId="10980" xr:uid="{9D43869C-E498-46C1-A2C7-1D67ADFF641E}"/>
    <cellStyle name="Comma 4 7 4 5" xfId="19427" xr:uid="{AB6BBD01-09E9-4A69-9B33-538B792D8CD4}"/>
    <cellStyle name="Comma 4 7 5" xfId="1978" xr:uid="{00000000-0005-0000-0000-0000770A0000}"/>
    <cellStyle name="Comma 4 7 5 2" xfId="4207" xr:uid="{00000000-0005-0000-0000-0000780A0000}"/>
    <cellStyle name="Comma 4 7 5 2 2" xfId="8429" xr:uid="{00000000-0005-0000-0000-0000790A0000}"/>
    <cellStyle name="Comma 4 7 5 2 2 2" xfId="17755" xr:uid="{0C4A02AF-09E8-4327-A2AD-82DF15DB0FE3}"/>
    <cellStyle name="Comma 4 7 5 2 2 3" xfId="26202" xr:uid="{35EFDA13-385D-4B6E-A8FE-C99B3FDC1F97}"/>
    <cellStyle name="Comma 4 7 5 2 3" xfId="13538" xr:uid="{F05D5F23-8FC6-4821-B1FB-243A95D8167F}"/>
    <cellStyle name="Comma 4 7 5 2 4" xfId="21985" xr:uid="{1A3B0F2E-8120-4D6B-BA95-6DD5E6E6449C}"/>
    <cellStyle name="Comma 4 7 5 3" xfId="6284" xr:uid="{00000000-0005-0000-0000-00007A0A0000}"/>
    <cellStyle name="Comma 4 7 5 3 2" xfId="15610" xr:uid="{A09ABA26-FEE0-45F9-9B1B-B2F12FB6D898}"/>
    <cellStyle name="Comma 4 7 5 3 3" xfId="24057" xr:uid="{93C323D7-99D4-4B51-9F92-E9FDB6799B89}"/>
    <cellStyle name="Comma 4 7 5 4" xfId="11393" xr:uid="{9F626DF1-046B-4C1B-B839-E828A8421D2C}"/>
    <cellStyle name="Comma 4 7 5 5" xfId="19840" xr:uid="{10B195FF-DC44-4F6A-97BD-384E3EB0BC50}"/>
    <cellStyle name="Comma 4 7 6" xfId="2413" xr:uid="{00000000-0005-0000-0000-00007B0A0000}"/>
    <cellStyle name="Comma 4 7 6 2" xfId="6697" xr:uid="{00000000-0005-0000-0000-00007C0A0000}"/>
    <cellStyle name="Comma 4 7 6 2 2" xfId="16023" xr:uid="{19CD1764-263F-4EE1-AA00-C3F27BE26900}"/>
    <cellStyle name="Comma 4 7 6 2 3" xfId="24470" xr:uid="{EEA8E3C4-E3B6-476E-891A-4DD510793CDB}"/>
    <cellStyle name="Comma 4 7 6 3" xfId="11806" xr:uid="{8A398A3D-551B-4AB3-8271-4F1ED9B8C897}"/>
    <cellStyle name="Comma 4 7 6 4" xfId="20253" xr:uid="{638309D4-5A59-4289-A2AC-187ED67FE4E5}"/>
    <cellStyle name="Comma 4 7 7" xfId="2709" xr:uid="{00000000-0005-0000-0000-00007D0A0000}"/>
    <cellStyle name="Comma 4 7 8" xfId="2791" xr:uid="{00000000-0005-0000-0000-00007E0A0000}"/>
    <cellStyle name="Comma 4 7 8 2" xfId="7014" xr:uid="{00000000-0005-0000-0000-00007F0A0000}"/>
    <cellStyle name="Comma 4 7 8 2 2" xfId="16340" xr:uid="{905CBB41-05B5-403C-8C5C-62931B5B015E}"/>
    <cellStyle name="Comma 4 7 8 2 3" xfId="24787" xr:uid="{ECAE9D26-92F7-4665-A1FB-73D380B1B7F6}"/>
    <cellStyle name="Comma 4 7 8 3" xfId="12123" xr:uid="{5CA9D293-2EF1-4DC7-AD99-FDCEBB823ECF}"/>
    <cellStyle name="Comma 4 7 8 4" xfId="20570" xr:uid="{30B2BAFA-AC4B-4676-A11E-FD1B1DE1B583}"/>
    <cellStyle name="Comma 4 7 9" xfId="4631" xr:uid="{00000000-0005-0000-0000-0000800A0000}"/>
    <cellStyle name="Comma 4 7 9 2" xfId="13957" xr:uid="{8CF7DD41-E9D2-4D56-A81C-173BA4092B08}"/>
    <cellStyle name="Comma 4 7 9 3" xfId="22404" xr:uid="{46646C21-A9A2-44DE-99AA-7E04E8B8BD28}"/>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omma 7 4" xfId="13825" xr:uid="{021A303A-F0C8-4BB6-90BB-7D026AD03610}"/>
    <cellStyle name="Comma 7 5" xfId="22272" xr:uid="{919821D1-DE20-4CA4-8D2E-57D2E3256B2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89E8D7C0-4372-4D11-94A9-25826C129EDC}"/>
    <cellStyle name="Currency 14 2 3" xfId="26489" xr:uid="{3ED0A7DF-736F-4116-88E8-6624A35CEDA3}"/>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3" xfId="18058" xr:uid="{E4E2C016-7844-4961-85AD-29E5FF4F6D22}"/>
    <cellStyle name="Currency 14 3 2 2 2 2 4" xfId="26505" xr:uid="{7C2A52B5-0CE2-4E16-89A7-B717951264F1}"/>
    <cellStyle name="Currency 14 3 2 2 2 3" xfId="18055" xr:uid="{2E52E3D6-C800-49A0-8EC1-066A9492075F}"/>
    <cellStyle name="Currency 14 3 2 2 2 4" xfId="26502" xr:uid="{7875C910-4276-4D3B-9E00-9C0DA9B76422}"/>
    <cellStyle name="Currency 14 3 2 2 3" xfId="18051" xr:uid="{C38A02FA-CAE1-4FC7-8BEF-85C0A27984AB}"/>
    <cellStyle name="Currency 14 3 2 2 4" xfId="26498" xr:uid="{96473FA4-FE55-4876-8289-9707E46112BD}"/>
    <cellStyle name="Currency 14 3 2 3" xfId="18048" xr:uid="{37B20DFF-61DF-4BED-86CC-C7323B3EDB17}"/>
    <cellStyle name="Currency 14 3 2 4" xfId="26495" xr:uid="{5F1CE934-C60F-415E-B405-0446ADB933B9}"/>
    <cellStyle name="Currency 14 3 3" xfId="18045" xr:uid="{5E7C4DCA-EAEB-4B76-80F7-249B4A85E25D}"/>
    <cellStyle name="Currency 14 3 4" xfId="26492" xr:uid="{59198AE0-C877-4805-BE8E-7B32AC666336}"/>
    <cellStyle name="Currency 14 4" xfId="13828" xr:uid="{9397C56A-3EC2-4B2C-B67C-1E081253AE3B}"/>
    <cellStyle name="Currency 14 5" xfId="22275" xr:uid="{F703FF66-7C9A-4044-BB9C-B3E0363E8022}"/>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675FB9A8-E335-4B8B-A52A-BD51909E655E}"/>
    <cellStyle name="Currency 3 2 2 10 2 3" xfId="24788" xr:uid="{3337843F-B82D-4DA4-BFA1-6B5312A77A3A}"/>
    <cellStyle name="Currency 3 2 2 10 3" xfId="12124" xr:uid="{9AE5ADB2-C238-46D1-B833-4EE0C40B5361}"/>
    <cellStyle name="Currency 3 2 2 10 4" xfId="20571" xr:uid="{A8E1F2CC-1592-4C4A-A717-B0278C97E20A}"/>
    <cellStyle name="Currency 3 2 2 11" xfId="4632" xr:uid="{00000000-0005-0000-0000-0000A50A0000}"/>
    <cellStyle name="Currency 3 2 2 11 2" xfId="13958" xr:uid="{D8C758C3-B765-4FED-805F-0DE808335437}"/>
    <cellStyle name="Currency 3 2 2 11 3" xfId="22405" xr:uid="{5E028B5A-4B4D-42F6-B5CC-660B2A73C986}"/>
    <cellStyle name="Currency 3 2 2 12" xfId="8808" xr:uid="{5CD24693-181E-456A-9199-DC057509AC96}"/>
    <cellStyle name="Currency 3 2 2 13" xfId="9741" xr:uid="{FCF4B319-A8AB-42FE-B76E-7644EAFDBDE2}"/>
    <cellStyle name="Currency 3 2 2 14" xfId="18188" xr:uid="{A844625F-49E9-44AB-9C0D-B79E34C02FBF}"/>
    <cellStyle name="Currency 3 2 2 2" xfId="179" xr:uid="{00000000-0005-0000-0000-0000A60A0000}"/>
    <cellStyle name="Currency 3 2 2 2 10" xfId="4633" xr:uid="{00000000-0005-0000-0000-0000A70A0000}"/>
    <cellStyle name="Currency 3 2 2 2 10 2" xfId="13959" xr:uid="{7010F6EF-E14F-41AC-82D6-607559F2DD8E}"/>
    <cellStyle name="Currency 3 2 2 2 10 3" xfId="22406" xr:uid="{67B4B862-C0A5-41CA-BAFE-79E84FB8245D}"/>
    <cellStyle name="Currency 3 2 2 2 11" xfId="8911" xr:uid="{177A45F7-B130-49DA-829A-AA3BF41B848C}"/>
    <cellStyle name="Currency 3 2 2 2 12" xfId="9742" xr:uid="{257D5777-4BDD-46E8-8BE1-1D876B81752C}"/>
    <cellStyle name="Currency 3 2 2 2 13" xfId="18189" xr:uid="{1FB23138-4665-44B9-9528-647EBEC00680}"/>
    <cellStyle name="Currency 3 2 2 2 2" xfId="180" xr:uid="{00000000-0005-0000-0000-0000A80A0000}"/>
    <cellStyle name="Currency 3 2 2 2 2 10" xfId="9118" xr:uid="{4DDBDF88-B997-49F5-AF34-322CC93508E5}"/>
    <cellStyle name="Currency 3 2 2 2 2 11" xfId="9743" xr:uid="{64CAB4C0-9226-4D38-9CA1-12CEE684E704}"/>
    <cellStyle name="Currency 3 2 2 2 2 12" xfId="18190" xr:uid="{2B7B1D8F-49BD-46A0-9AA1-17B11326BDFE}"/>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3BACAF7B-13FF-4127-9CE8-6A72DFC1BB2F}"/>
    <cellStyle name="Currency 3 2 2 2 2 2 2 2 3" xfId="24966" xr:uid="{8B63160B-8B06-4EB1-9188-F84663949262}"/>
    <cellStyle name="Currency 3 2 2 2 2 2 2 3" xfId="12302" xr:uid="{2FFB6D58-C711-4687-8158-E1F05ABCFAEA}"/>
    <cellStyle name="Currency 3 2 2 2 2 2 2 4" xfId="20749" xr:uid="{779F67C8-CAC9-4ED2-9429-06A55BC24BE2}"/>
    <cellStyle name="Currency 3 2 2 2 2 2 3" xfId="5048" xr:uid="{00000000-0005-0000-0000-0000AC0A0000}"/>
    <cellStyle name="Currency 3 2 2 2 2 2 3 2" xfId="14374" xr:uid="{FE4F9B6D-87C3-46D8-92AA-BC6455123594}"/>
    <cellStyle name="Currency 3 2 2 2 2 2 3 3" xfId="22821" xr:uid="{56120EAE-90A4-48A1-BB2F-61D33588B128}"/>
    <cellStyle name="Currency 3 2 2 2 2 2 4" xfId="9543" xr:uid="{08990697-BAC1-4B06-A86B-C554A35267E6}"/>
    <cellStyle name="Currency 3 2 2 2 2 2 5" xfId="10157" xr:uid="{12A23DBC-CD19-4224-8812-4D8E0C9A9AD6}"/>
    <cellStyle name="Currency 3 2 2 2 2 2 6" xfId="18604" xr:uid="{9E5C844D-F4CB-40D0-AA28-084F815C1AED}"/>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DAD1961E-0ECB-47E2-BAEA-96424BFB8702}"/>
    <cellStyle name="Currency 3 2 2 2 2 3 2 2 3" xfId="25379" xr:uid="{652D0592-5F48-4368-9EB5-7D1D95202614}"/>
    <cellStyle name="Currency 3 2 2 2 2 3 2 3" xfId="12715" xr:uid="{F38247C1-9FB2-4DAF-8D0C-24746C569822}"/>
    <cellStyle name="Currency 3 2 2 2 2 3 2 4" xfId="21162" xr:uid="{C4277F1D-1A00-4689-A180-FABED2DA754D}"/>
    <cellStyle name="Currency 3 2 2 2 2 3 3" xfId="5461" xr:uid="{00000000-0005-0000-0000-0000B00A0000}"/>
    <cellStyle name="Currency 3 2 2 2 2 3 3 2" xfId="14787" xr:uid="{9DA4061B-1B90-4D08-9814-95B6FF6DBDE1}"/>
    <cellStyle name="Currency 3 2 2 2 2 3 3 3" xfId="23234" xr:uid="{53C73F6D-0457-4B45-AF5E-C18C06FEB356}"/>
    <cellStyle name="Currency 3 2 2 2 2 3 4" xfId="10570" xr:uid="{74B70F0C-A4E4-4B3D-B52D-7509621D9C13}"/>
    <cellStyle name="Currency 3 2 2 2 2 3 5" xfId="19017" xr:uid="{C57ADE63-EC18-4590-9DC6-AA131D05F407}"/>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DF11F77C-41AD-406C-99EC-7E867D7B41A1}"/>
    <cellStyle name="Currency 3 2 2 2 2 4 2 2 3" xfId="25792" xr:uid="{C64679AC-98AC-4DBB-8B2C-462DA8D580DF}"/>
    <cellStyle name="Currency 3 2 2 2 2 4 2 3" xfId="13128" xr:uid="{AF71E736-75FD-45F2-A1D8-FE41600472A7}"/>
    <cellStyle name="Currency 3 2 2 2 2 4 2 4" xfId="21575" xr:uid="{5BBB1E12-DBD4-4D11-B400-436C6BC5651B}"/>
    <cellStyle name="Currency 3 2 2 2 2 4 3" xfId="5874" xr:uid="{00000000-0005-0000-0000-0000B40A0000}"/>
    <cellStyle name="Currency 3 2 2 2 2 4 3 2" xfId="15200" xr:uid="{6792F67C-37D4-49AC-A7EE-1F128DB06D01}"/>
    <cellStyle name="Currency 3 2 2 2 2 4 3 3" xfId="23647" xr:uid="{27E9622C-059E-44F6-8C26-D9EB11AEB008}"/>
    <cellStyle name="Currency 3 2 2 2 2 4 4" xfId="10983" xr:uid="{593AB0C3-1EEE-4197-B20E-1865AA7D202A}"/>
    <cellStyle name="Currency 3 2 2 2 2 4 5" xfId="19430" xr:uid="{24BCA061-4382-4F3E-ADA8-532C0F5F1529}"/>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3B314514-7994-4518-8105-3CF5BCB1AFEF}"/>
    <cellStyle name="Currency 3 2 2 2 2 5 2 2 3" xfId="26205" xr:uid="{D1841CDF-782A-49F8-AD44-17224589D0DB}"/>
    <cellStyle name="Currency 3 2 2 2 2 5 2 3" xfId="13541" xr:uid="{A2104A73-4C0D-4FD2-8527-B690F4059BCA}"/>
    <cellStyle name="Currency 3 2 2 2 2 5 2 4" xfId="21988" xr:uid="{4BECE1EA-B3D3-4FEC-ADC6-062A0A6CBEE3}"/>
    <cellStyle name="Currency 3 2 2 2 2 5 3" xfId="6287" xr:uid="{00000000-0005-0000-0000-0000B80A0000}"/>
    <cellStyle name="Currency 3 2 2 2 2 5 3 2" xfId="15613" xr:uid="{7A5FFE2B-02FB-4DF0-8679-31693DB1839B}"/>
    <cellStyle name="Currency 3 2 2 2 2 5 3 3" xfId="24060" xr:uid="{52F932E3-F85A-423E-B2D0-D81920BED3B9}"/>
    <cellStyle name="Currency 3 2 2 2 2 5 4" xfId="11396" xr:uid="{A9B02B62-F102-48AF-A2EC-CCF02B4FA289}"/>
    <cellStyle name="Currency 3 2 2 2 2 5 5" xfId="19843" xr:uid="{1C89BAB6-9DC7-4D2A-BBF6-5CCF912D33F9}"/>
    <cellStyle name="Currency 3 2 2 2 2 6" xfId="2416" xr:uid="{00000000-0005-0000-0000-0000B90A0000}"/>
    <cellStyle name="Currency 3 2 2 2 2 6 2" xfId="6700" xr:uid="{00000000-0005-0000-0000-0000BA0A0000}"/>
    <cellStyle name="Currency 3 2 2 2 2 6 2 2" xfId="16026" xr:uid="{FC778059-C7ED-4975-B624-251FB2FF05FB}"/>
    <cellStyle name="Currency 3 2 2 2 2 6 2 3" xfId="24473" xr:uid="{A75E3CE9-2EEF-4CC0-BDD2-31686A38378D}"/>
    <cellStyle name="Currency 3 2 2 2 2 6 3" xfId="11809" xr:uid="{8BFEE238-E275-4951-8346-78257D9666EF}"/>
    <cellStyle name="Currency 3 2 2 2 2 6 4" xfId="20256" xr:uid="{66AD435F-EDB3-426D-85A9-DA19F78D0D1F}"/>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D5FF56E1-37C1-4474-9558-84AAC44C6865}"/>
    <cellStyle name="Currency 3 2 2 2 2 8 2 3" xfId="24790" xr:uid="{9A954EAC-5A67-4D59-A504-E07A660CA1F4}"/>
    <cellStyle name="Currency 3 2 2 2 2 8 3" xfId="12126" xr:uid="{BFB75AF5-3EA5-4F2D-B3E5-FB5FE7EA7AFF}"/>
    <cellStyle name="Currency 3 2 2 2 2 8 4" xfId="20573" xr:uid="{7B79F960-A3B4-42A1-BF85-E00E866E1339}"/>
    <cellStyle name="Currency 3 2 2 2 2 9" xfId="4634" xr:uid="{00000000-0005-0000-0000-0000BE0A0000}"/>
    <cellStyle name="Currency 3 2 2 2 2 9 2" xfId="13960" xr:uid="{48840DE6-FE10-4A10-B836-9EA382D71D6E}"/>
    <cellStyle name="Currency 3 2 2 2 2 9 3" xfId="22407" xr:uid="{335872C7-57D9-40FD-8360-01C4E2C22883}"/>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C091F13E-65A2-4931-B732-A3645E0912F8}"/>
    <cellStyle name="Currency 3 2 2 2 3 2 2 3" xfId="24965" xr:uid="{8127E90C-9482-4C9E-BB92-C3256C5FEBE7}"/>
    <cellStyle name="Currency 3 2 2 2 3 2 3" xfId="12301" xr:uid="{3619F309-A46A-4A83-9583-DC4C27D81707}"/>
    <cellStyle name="Currency 3 2 2 2 3 2 4" xfId="20748" xr:uid="{39BD0518-272D-4597-81E6-7FB3024561C5}"/>
    <cellStyle name="Currency 3 2 2 2 3 3" xfId="5047" xr:uid="{00000000-0005-0000-0000-0000C20A0000}"/>
    <cellStyle name="Currency 3 2 2 2 3 3 2" xfId="14373" xr:uid="{DB1DB3C6-BBDE-46D8-9CD3-F4480FAEE4D3}"/>
    <cellStyle name="Currency 3 2 2 2 3 3 3" xfId="22820" xr:uid="{1E7E9657-0442-4A64-BDBD-EF99F34D8A22}"/>
    <cellStyle name="Currency 3 2 2 2 3 4" xfId="9336" xr:uid="{F86D5454-A503-484B-B8F3-81FF219E49D0}"/>
    <cellStyle name="Currency 3 2 2 2 3 5" xfId="10156" xr:uid="{4A6B644E-29B4-4358-BC91-75F3630E1AF5}"/>
    <cellStyle name="Currency 3 2 2 2 3 6" xfId="18603" xr:uid="{A82FEAF5-43CD-46D4-9A5D-8B9D1CAC615A}"/>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A807FE63-33D2-401D-B452-A684AB40C06D}"/>
    <cellStyle name="Currency 3 2 2 2 4 2 2 3" xfId="25378" xr:uid="{8A7FB701-330E-4EC3-BE3A-A945F494ED77}"/>
    <cellStyle name="Currency 3 2 2 2 4 2 3" xfId="12714" xr:uid="{3AB24DEB-9D10-4B42-A193-84B408859D1D}"/>
    <cellStyle name="Currency 3 2 2 2 4 2 4" xfId="21161" xr:uid="{65C25870-C4B3-466A-BB5A-0FE0628FCCC4}"/>
    <cellStyle name="Currency 3 2 2 2 4 3" xfId="5460" xr:uid="{00000000-0005-0000-0000-0000C60A0000}"/>
    <cellStyle name="Currency 3 2 2 2 4 3 2" xfId="14786" xr:uid="{17FF6278-A310-4A77-A017-D903D2E515C1}"/>
    <cellStyle name="Currency 3 2 2 2 4 3 3" xfId="23233" xr:uid="{824D67C2-CE90-4D2A-BF5B-3893BD4C4DFE}"/>
    <cellStyle name="Currency 3 2 2 2 4 4" xfId="10569" xr:uid="{49F5B0D6-973F-4A95-9BD7-ECD5DF3FD147}"/>
    <cellStyle name="Currency 3 2 2 2 4 5" xfId="19016" xr:uid="{CB44603F-482D-4748-B9C9-BA28B41176BA}"/>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8AC5D031-C036-43E4-A5CB-3B2D8AF8378E}"/>
    <cellStyle name="Currency 3 2 2 2 5 2 2 3" xfId="25791" xr:uid="{114EB201-D79C-4155-BBE7-6A54FFE14FEE}"/>
    <cellStyle name="Currency 3 2 2 2 5 2 3" xfId="13127" xr:uid="{A4CDF8D3-ECEB-4817-B1C4-1D0D9312650F}"/>
    <cellStyle name="Currency 3 2 2 2 5 2 4" xfId="21574" xr:uid="{E77F36D6-A3DA-4318-AFFC-5826B865CA2E}"/>
    <cellStyle name="Currency 3 2 2 2 5 3" xfId="5873" xr:uid="{00000000-0005-0000-0000-0000CA0A0000}"/>
    <cellStyle name="Currency 3 2 2 2 5 3 2" xfId="15199" xr:uid="{D7940483-38C6-4975-AD6C-80891CDDB58A}"/>
    <cellStyle name="Currency 3 2 2 2 5 3 3" xfId="23646" xr:uid="{99D71A06-9819-4DFE-8928-278159C0C027}"/>
    <cellStyle name="Currency 3 2 2 2 5 4" xfId="10982" xr:uid="{6C359D37-B0AC-4147-A9F2-73814EDE884F}"/>
    <cellStyle name="Currency 3 2 2 2 5 5" xfId="19429" xr:uid="{A2C6F6CD-FAE9-44B1-8986-D25C0B2E43DF}"/>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49AF712C-400E-426B-86CB-06F0FABF270F}"/>
    <cellStyle name="Currency 3 2 2 2 6 2 2 3" xfId="26204" xr:uid="{F42CAA96-EA83-46CF-8315-966B5BDD8C17}"/>
    <cellStyle name="Currency 3 2 2 2 6 2 3" xfId="13540" xr:uid="{7ED19B2E-E4C7-48C5-9131-8434BA3D07B9}"/>
    <cellStyle name="Currency 3 2 2 2 6 2 4" xfId="21987" xr:uid="{7DD773CB-71DD-4343-A5F0-7C3BBF82478B}"/>
    <cellStyle name="Currency 3 2 2 2 6 3" xfId="6286" xr:uid="{00000000-0005-0000-0000-0000CE0A0000}"/>
    <cellStyle name="Currency 3 2 2 2 6 3 2" xfId="15612" xr:uid="{C5B2AC90-BDCF-4BE2-8B5A-CBC485C83A36}"/>
    <cellStyle name="Currency 3 2 2 2 6 3 3" xfId="24059" xr:uid="{C9B14421-CF27-414A-9E64-7C2EF3120073}"/>
    <cellStyle name="Currency 3 2 2 2 6 4" xfId="11395" xr:uid="{5E968D08-59BE-48DA-8C94-2466BEE341C4}"/>
    <cellStyle name="Currency 3 2 2 2 6 5" xfId="19842" xr:uid="{299566CA-686A-4A97-9B4F-47CE0EF4A6AA}"/>
    <cellStyle name="Currency 3 2 2 2 7" xfId="2415" xr:uid="{00000000-0005-0000-0000-0000CF0A0000}"/>
    <cellStyle name="Currency 3 2 2 2 7 2" xfId="6699" xr:uid="{00000000-0005-0000-0000-0000D00A0000}"/>
    <cellStyle name="Currency 3 2 2 2 7 2 2" xfId="16025" xr:uid="{CD03B707-F31B-49A1-9968-89B452C9129A}"/>
    <cellStyle name="Currency 3 2 2 2 7 2 3" xfId="24472" xr:uid="{AD66AEBA-D8BE-4254-BC9F-9C6610566922}"/>
    <cellStyle name="Currency 3 2 2 2 7 3" xfId="11808" xr:uid="{C8F0D716-E6B8-494A-BE0D-7D3BF1638003}"/>
    <cellStyle name="Currency 3 2 2 2 7 4" xfId="20255" xr:uid="{CD23A592-AE98-44CB-B738-0EBA38650B03}"/>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41A1EC82-552B-4649-8FEE-FB9BDBA1DBC4}"/>
    <cellStyle name="Currency 3 2 2 2 9 2 3" xfId="24789" xr:uid="{B0A9D3DC-362B-4D3D-AAF2-EDC5BEE204B5}"/>
    <cellStyle name="Currency 3 2 2 2 9 3" xfId="12125" xr:uid="{EC270BE1-93F9-443B-966C-18E4AA802DF1}"/>
    <cellStyle name="Currency 3 2 2 2 9 4" xfId="20572" xr:uid="{8D139429-D9FE-4AA2-91F7-F7D2F2F8EC99}"/>
    <cellStyle name="Currency 3 2 2 3" xfId="181" xr:uid="{00000000-0005-0000-0000-0000D40A0000}"/>
    <cellStyle name="Currency 3 2 2 3 10" xfId="9015" xr:uid="{A1C3FAFC-6FB9-45C5-A279-C90E61794A63}"/>
    <cellStyle name="Currency 3 2 2 3 11" xfId="9744" xr:uid="{0A69D8AF-1870-4A06-B8EF-C04F83C5EC1E}"/>
    <cellStyle name="Currency 3 2 2 3 12" xfId="18191" xr:uid="{A0AC434E-B089-4097-B557-9ADD7690B988}"/>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FF615ABB-71F3-45DA-9C45-28C684234FBA}"/>
    <cellStyle name="Currency 3 2 2 3 2 2 2 3" xfId="24967" xr:uid="{087DE4E8-30E5-48EF-80DC-6CD7B3AAFFA2}"/>
    <cellStyle name="Currency 3 2 2 3 2 2 3" xfId="12303" xr:uid="{2485BE91-3C8F-4483-A4DE-1D740360FE06}"/>
    <cellStyle name="Currency 3 2 2 3 2 2 4" xfId="20750" xr:uid="{074B2C00-2FD4-4061-93CD-D7C5AEFEF8F4}"/>
    <cellStyle name="Currency 3 2 2 3 2 3" xfId="5049" xr:uid="{00000000-0005-0000-0000-0000D80A0000}"/>
    <cellStyle name="Currency 3 2 2 3 2 3 2" xfId="14375" xr:uid="{E0C81E13-6694-4A9A-994F-C2B6C13A24B5}"/>
    <cellStyle name="Currency 3 2 2 3 2 3 3" xfId="22822" xr:uid="{2BECDA0B-A7E4-4E20-A9C6-DD715AE36781}"/>
    <cellStyle name="Currency 3 2 2 3 2 4" xfId="9440" xr:uid="{774D5512-BCA5-4224-A909-3336A63369C8}"/>
    <cellStyle name="Currency 3 2 2 3 2 5" xfId="10158" xr:uid="{CDA4C6C2-9465-4EF5-B59E-5A55198BF157}"/>
    <cellStyle name="Currency 3 2 2 3 2 6" xfId="18605" xr:uid="{A6B1920C-0A07-4A89-8203-A8445884703F}"/>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18369A60-9757-4DA5-A083-6AE49CB02FA5}"/>
    <cellStyle name="Currency 3 2 2 3 3 2 2 3" xfId="25380" xr:uid="{1E2018FE-458C-42AA-A6AB-6CD2C013AF1A}"/>
    <cellStyle name="Currency 3 2 2 3 3 2 3" xfId="12716" xr:uid="{7FE06F44-0543-4B63-A36A-EA9D87FF2AD9}"/>
    <cellStyle name="Currency 3 2 2 3 3 2 4" xfId="21163" xr:uid="{8F11EE57-0282-432F-BE7C-823CD9821340}"/>
    <cellStyle name="Currency 3 2 2 3 3 3" xfId="5462" xr:uid="{00000000-0005-0000-0000-0000DC0A0000}"/>
    <cellStyle name="Currency 3 2 2 3 3 3 2" xfId="14788" xr:uid="{F4896CE3-0F71-4387-87A0-C4FD3221DC40}"/>
    <cellStyle name="Currency 3 2 2 3 3 3 3" xfId="23235" xr:uid="{DE3BB8B9-AE92-4C19-B15F-2CDE282B884A}"/>
    <cellStyle name="Currency 3 2 2 3 3 4" xfId="10571" xr:uid="{14106D27-B12A-4E04-8173-F770763B327E}"/>
    <cellStyle name="Currency 3 2 2 3 3 5" xfId="19018" xr:uid="{772037A2-AC0F-4011-AD7B-D371312FE504}"/>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7E1A3594-C0E9-48B5-84B5-24AF125564D0}"/>
    <cellStyle name="Currency 3 2 2 3 4 2 2 3" xfId="25793" xr:uid="{FF9D10F8-B7C2-43B4-B2E7-86AD49F622F5}"/>
    <cellStyle name="Currency 3 2 2 3 4 2 3" xfId="13129" xr:uid="{43660ED2-D5E1-4000-9807-8BF61E606F67}"/>
    <cellStyle name="Currency 3 2 2 3 4 2 4" xfId="21576" xr:uid="{690FBB21-0C15-4236-9754-954B8006D729}"/>
    <cellStyle name="Currency 3 2 2 3 4 3" xfId="5875" xr:uid="{00000000-0005-0000-0000-0000E00A0000}"/>
    <cellStyle name="Currency 3 2 2 3 4 3 2" xfId="15201" xr:uid="{ED22079E-090F-4294-9D88-71F7A0F694B8}"/>
    <cellStyle name="Currency 3 2 2 3 4 3 3" xfId="23648" xr:uid="{E0CA66E5-6E4C-4066-85E3-AF03A30F6F42}"/>
    <cellStyle name="Currency 3 2 2 3 4 4" xfId="10984" xr:uid="{A0A24658-3CFA-4BA0-9665-12E3F3F55451}"/>
    <cellStyle name="Currency 3 2 2 3 4 5" xfId="19431" xr:uid="{9E910B3A-475D-4031-81E1-70D8739DF408}"/>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B7E78D8F-68B9-4109-A008-02B942D91824}"/>
    <cellStyle name="Currency 3 2 2 3 5 2 2 3" xfId="26206" xr:uid="{31E5897C-1375-4D1A-AAC3-345865BA49A7}"/>
    <cellStyle name="Currency 3 2 2 3 5 2 3" xfId="13542" xr:uid="{0CCD653B-D206-4640-AA07-FB2426FFA319}"/>
    <cellStyle name="Currency 3 2 2 3 5 2 4" xfId="21989" xr:uid="{0F45565B-EE64-4514-AD8C-966B59971528}"/>
    <cellStyle name="Currency 3 2 2 3 5 3" xfId="6288" xr:uid="{00000000-0005-0000-0000-0000E40A0000}"/>
    <cellStyle name="Currency 3 2 2 3 5 3 2" xfId="15614" xr:uid="{BF57A994-6B24-445A-A398-CA7F51FA2EA7}"/>
    <cellStyle name="Currency 3 2 2 3 5 3 3" xfId="24061" xr:uid="{917F4D04-466D-4F1E-8012-990B77B7722D}"/>
    <cellStyle name="Currency 3 2 2 3 5 4" xfId="11397" xr:uid="{9040D9F9-1728-4F7D-8249-592ADD66B27B}"/>
    <cellStyle name="Currency 3 2 2 3 5 5" xfId="19844" xr:uid="{8DFEC0CC-EC05-4FB0-BB7C-8C8CA5890979}"/>
    <cellStyle name="Currency 3 2 2 3 6" xfId="2417" xr:uid="{00000000-0005-0000-0000-0000E50A0000}"/>
    <cellStyle name="Currency 3 2 2 3 6 2" xfId="6701" xr:uid="{00000000-0005-0000-0000-0000E60A0000}"/>
    <cellStyle name="Currency 3 2 2 3 6 2 2" xfId="16027" xr:uid="{261D7552-D923-4703-866B-1065172B4313}"/>
    <cellStyle name="Currency 3 2 2 3 6 2 3" xfId="24474" xr:uid="{F19CD116-DB50-477D-B785-E9B905F767D9}"/>
    <cellStyle name="Currency 3 2 2 3 6 3" xfId="11810" xr:uid="{39218564-6809-4CB0-BDD1-1254FDAF9F98}"/>
    <cellStyle name="Currency 3 2 2 3 6 4" xfId="20257" xr:uid="{BB217C4D-F46D-4240-B202-1326D91B1159}"/>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6B2DF909-ECA9-43C0-9FCD-9691D08CCE1D}"/>
    <cellStyle name="Currency 3 2 2 3 8 2 3" xfId="24791" xr:uid="{3FF9A14D-A56D-4140-994F-CDE109F2822D}"/>
    <cellStyle name="Currency 3 2 2 3 8 3" xfId="12127" xr:uid="{2BA96907-3144-4699-9C7E-0EE976B4B54D}"/>
    <cellStyle name="Currency 3 2 2 3 8 4" xfId="20574" xr:uid="{59DFBC84-06CA-40AD-981E-21F1AF0BAB44}"/>
    <cellStyle name="Currency 3 2 2 3 9" xfId="4635" xr:uid="{00000000-0005-0000-0000-0000EA0A0000}"/>
    <cellStyle name="Currency 3 2 2 3 9 2" xfId="13961" xr:uid="{129440C3-6DF5-4932-BDE1-0136D3C64DAC}"/>
    <cellStyle name="Currency 3 2 2 3 9 3" xfId="22408" xr:uid="{3B10FEC1-4DA7-4B34-A0E2-30F488ED1E0A}"/>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7E0D2CA2-CDC8-4F95-9080-3D1555BD7D52}"/>
    <cellStyle name="Currency 3 2 2 4 2 2 3" xfId="24964" xr:uid="{FD547453-CDB7-4BAE-A652-7D630CE41AF9}"/>
    <cellStyle name="Currency 3 2 2 4 2 3" xfId="12300" xr:uid="{E4BAEFC2-2B12-48C9-94B2-1A7686335B4C}"/>
    <cellStyle name="Currency 3 2 2 4 2 4" xfId="20747" xr:uid="{B325B30A-3DDC-4EF0-928C-CF0321E78D3C}"/>
    <cellStyle name="Currency 3 2 2 4 3" xfId="5046" xr:uid="{00000000-0005-0000-0000-0000EE0A0000}"/>
    <cellStyle name="Currency 3 2 2 4 3 2" xfId="14372" xr:uid="{5F9C8345-DA12-43F5-BD5F-3D84FE3F01BC}"/>
    <cellStyle name="Currency 3 2 2 4 3 3" xfId="22819" xr:uid="{8E114419-3DD0-4972-9F01-359FAFB19A4D}"/>
    <cellStyle name="Currency 3 2 2 4 4" xfId="9233" xr:uid="{A90843BF-65B1-48E5-9C93-A2651D7B4B13}"/>
    <cellStyle name="Currency 3 2 2 4 5" xfId="10155" xr:uid="{E48A7225-FCAE-41FD-AF0A-77AB02B0B19E}"/>
    <cellStyle name="Currency 3 2 2 4 6" xfId="18602" xr:uid="{78E9003C-0D6E-40A3-8102-EA609DA6A545}"/>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7284F88F-1288-4CCA-8CF5-F300A4109071}"/>
    <cellStyle name="Currency 3 2 2 5 2 2 3" xfId="25377" xr:uid="{DEBF77ED-CD53-4901-97EF-BC0BCBA32A4F}"/>
    <cellStyle name="Currency 3 2 2 5 2 3" xfId="12713" xr:uid="{C5C34C64-5A23-482A-9778-466A926318A8}"/>
    <cellStyle name="Currency 3 2 2 5 2 4" xfId="21160" xr:uid="{31471E01-4F10-4AB9-B078-3042B2340209}"/>
    <cellStyle name="Currency 3 2 2 5 3" xfId="5459" xr:uid="{00000000-0005-0000-0000-0000F20A0000}"/>
    <cellStyle name="Currency 3 2 2 5 3 2" xfId="14785" xr:uid="{12B379F9-9086-484E-BCC6-A6AF1FD5BA2F}"/>
    <cellStyle name="Currency 3 2 2 5 3 3" xfId="23232" xr:uid="{3597FCF5-E0B7-4CEE-8149-A1AA82E79337}"/>
    <cellStyle name="Currency 3 2 2 5 4" xfId="10568" xr:uid="{9A7B13FF-BE7B-4FA5-A7DB-2B2DEA766E1A}"/>
    <cellStyle name="Currency 3 2 2 5 5" xfId="19015" xr:uid="{747084E0-CE1D-455C-B83D-DAF326D718C8}"/>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E261398D-CF33-42AB-A236-70896D6FAE47}"/>
    <cellStyle name="Currency 3 2 2 6 2 2 3" xfId="25790" xr:uid="{CA9E07DF-00BE-4AF8-9881-10867126F2C8}"/>
    <cellStyle name="Currency 3 2 2 6 2 3" xfId="13126" xr:uid="{D2445F0D-E52B-4D36-A6DB-A903E508DC07}"/>
    <cellStyle name="Currency 3 2 2 6 2 4" xfId="21573" xr:uid="{93B73717-70DA-48D4-A03F-89293BFFFD48}"/>
    <cellStyle name="Currency 3 2 2 6 3" xfId="5872" xr:uid="{00000000-0005-0000-0000-0000F60A0000}"/>
    <cellStyle name="Currency 3 2 2 6 3 2" xfId="15198" xr:uid="{33E8597F-A0DF-4AA3-8109-DA540B9B732B}"/>
    <cellStyle name="Currency 3 2 2 6 3 3" xfId="23645" xr:uid="{D45D730A-33C9-485C-9D55-454544985C7F}"/>
    <cellStyle name="Currency 3 2 2 6 4" xfId="10981" xr:uid="{D16FDF66-5BA9-4410-81BE-0A7ED7C39AC5}"/>
    <cellStyle name="Currency 3 2 2 6 5" xfId="19428" xr:uid="{5BBEBF89-1EB3-45F6-9B5E-DB3EB81F9F50}"/>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7E94B754-F790-4860-8C37-F7FA9F172BF5}"/>
    <cellStyle name="Currency 3 2 2 7 2 2 3" xfId="26203" xr:uid="{8B0969A2-E7EB-45A7-B2AB-F84A3F5BDC4D}"/>
    <cellStyle name="Currency 3 2 2 7 2 3" xfId="13539" xr:uid="{9AAC590A-D13E-48E0-971E-060D5110C731}"/>
    <cellStyle name="Currency 3 2 2 7 2 4" xfId="21986" xr:uid="{2C8869D1-0B00-413A-9FDE-12E82A191D69}"/>
    <cellStyle name="Currency 3 2 2 7 3" xfId="6285" xr:uid="{00000000-0005-0000-0000-0000FA0A0000}"/>
    <cellStyle name="Currency 3 2 2 7 3 2" xfId="15611" xr:uid="{2841020E-45E0-472E-A00B-2598D1D5257D}"/>
    <cellStyle name="Currency 3 2 2 7 3 3" xfId="24058" xr:uid="{2907369E-0DC6-4B94-8E69-CC92CD2EE702}"/>
    <cellStyle name="Currency 3 2 2 7 4" xfId="11394" xr:uid="{B6260462-A7FA-4FB8-914D-A033364FF338}"/>
    <cellStyle name="Currency 3 2 2 7 5" xfId="19841" xr:uid="{9005976D-0884-4898-AABD-A295625C9DE8}"/>
    <cellStyle name="Currency 3 2 2 8" xfId="2414" xr:uid="{00000000-0005-0000-0000-0000FB0A0000}"/>
    <cellStyle name="Currency 3 2 2 8 2" xfId="6698" xr:uid="{00000000-0005-0000-0000-0000FC0A0000}"/>
    <cellStyle name="Currency 3 2 2 8 2 2" xfId="16024" xr:uid="{B6ABC7C1-5D34-489D-A3E9-D6077157177C}"/>
    <cellStyle name="Currency 3 2 2 8 2 3" xfId="24471" xr:uid="{893DB5FB-29F1-404C-B30B-B0F50E8A9ABF}"/>
    <cellStyle name="Currency 3 2 2 8 3" xfId="11807" xr:uid="{A2A45680-785C-4099-858E-FC2EA0314F98}"/>
    <cellStyle name="Currency 3 2 2 8 4" xfId="20254" xr:uid="{5678B613-797C-4639-8A2F-BB454E1D738A}"/>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79930953-77A9-47E2-9009-72CAD07B5CA6}"/>
    <cellStyle name="Currency 3 2 3 10 3" xfId="22409" xr:uid="{73DB193B-0475-4F77-85F1-FC348C2D5D0D}"/>
    <cellStyle name="Currency 3 2 3 11" xfId="8893" xr:uid="{8CE28714-D587-402C-9A17-1A08799662D4}"/>
    <cellStyle name="Currency 3 2 3 12" xfId="9745" xr:uid="{67A0B583-FCCB-405F-B4F3-0C426B311806}"/>
    <cellStyle name="Currency 3 2 3 13" xfId="18192" xr:uid="{6DDC5DB7-6FCA-4A12-B76B-22D114503B51}"/>
    <cellStyle name="Currency 3 2 3 2" xfId="183" xr:uid="{00000000-0005-0000-0000-0000000B0000}"/>
    <cellStyle name="Currency 3 2 3 2 10" xfId="9100" xr:uid="{CEBE1F40-0923-46C6-AB84-DD4DAB20CD81}"/>
    <cellStyle name="Currency 3 2 3 2 11" xfId="9746" xr:uid="{21BD84D5-3F2F-4BE8-996E-98BA8AAA1A64}"/>
    <cellStyle name="Currency 3 2 3 2 12" xfId="18193" xr:uid="{57303799-870E-4B87-8F58-9BFA9DA0CC1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F2893C13-3F9C-4B1F-9C05-E76C811A758F}"/>
    <cellStyle name="Currency 3 2 3 2 2 2 2 3" xfId="24969" xr:uid="{853093FF-97FA-4360-9152-585924A5D2EA}"/>
    <cellStyle name="Currency 3 2 3 2 2 2 3" xfId="12305" xr:uid="{2E1DA4C8-0AED-45A2-9786-75DC50AD2238}"/>
    <cellStyle name="Currency 3 2 3 2 2 2 4" xfId="20752" xr:uid="{84AC11DF-C073-405F-8FEC-73202B6B68E0}"/>
    <cellStyle name="Currency 3 2 3 2 2 3" xfId="5051" xr:uid="{00000000-0005-0000-0000-0000040B0000}"/>
    <cellStyle name="Currency 3 2 3 2 2 3 2" xfId="14377" xr:uid="{A469A1D3-BA18-4D8D-8DD8-8EFD93F871A1}"/>
    <cellStyle name="Currency 3 2 3 2 2 3 3" xfId="22824" xr:uid="{EA20CE7D-9DA6-42E0-8BF2-A6A5387065D8}"/>
    <cellStyle name="Currency 3 2 3 2 2 4" xfId="9525" xr:uid="{759374BA-DDD8-4F33-9655-B300986F8700}"/>
    <cellStyle name="Currency 3 2 3 2 2 5" xfId="10160" xr:uid="{B0DDF49D-84F8-4A7E-AEA3-64DECDED6F6C}"/>
    <cellStyle name="Currency 3 2 3 2 2 6" xfId="18607" xr:uid="{E6C14E36-402C-451E-A6A3-C7347FE8768C}"/>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15361A33-ED18-4D26-86EA-0B32EC9A1E07}"/>
    <cellStyle name="Currency 3 2 3 2 3 2 2 3" xfId="25382" xr:uid="{39384608-4FB4-4B56-A7C4-789FEE4C820D}"/>
    <cellStyle name="Currency 3 2 3 2 3 2 3" xfId="12718" xr:uid="{468914AF-2501-4FF5-85B3-F9ED86B5C3AD}"/>
    <cellStyle name="Currency 3 2 3 2 3 2 4" xfId="21165" xr:uid="{DF4B5995-BE65-4065-A027-A00A7C9FDFAF}"/>
    <cellStyle name="Currency 3 2 3 2 3 3" xfId="5464" xr:uid="{00000000-0005-0000-0000-0000080B0000}"/>
    <cellStyle name="Currency 3 2 3 2 3 3 2" xfId="14790" xr:uid="{B26335C0-E499-4478-9F6F-5811E0C696E4}"/>
    <cellStyle name="Currency 3 2 3 2 3 3 3" xfId="23237" xr:uid="{42DE379D-E66C-42D4-899B-925339717F90}"/>
    <cellStyle name="Currency 3 2 3 2 3 4" xfId="10573" xr:uid="{E729B353-6C13-4FCA-B053-A5794E942B63}"/>
    <cellStyle name="Currency 3 2 3 2 3 5" xfId="19020" xr:uid="{A01D6075-FB68-4DCB-B8C8-79898AC98A7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0002A78B-1321-43F3-A87A-47C87B9BC5AA}"/>
    <cellStyle name="Currency 3 2 3 2 4 2 2 3" xfId="25795" xr:uid="{D5A882F2-8940-459C-85F3-FC1A64F8AF27}"/>
    <cellStyle name="Currency 3 2 3 2 4 2 3" xfId="13131" xr:uid="{3D1C8A77-8735-4193-9DEB-E3D62746CB2D}"/>
    <cellStyle name="Currency 3 2 3 2 4 2 4" xfId="21578" xr:uid="{42DF811C-0044-44E8-8E90-2A9AE8CF8D6F}"/>
    <cellStyle name="Currency 3 2 3 2 4 3" xfId="5877" xr:uid="{00000000-0005-0000-0000-00000C0B0000}"/>
    <cellStyle name="Currency 3 2 3 2 4 3 2" xfId="15203" xr:uid="{9C3046BA-D6C6-4FD6-B83C-E213E8A316C3}"/>
    <cellStyle name="Currency 3 2 3 2 4 3 3" xfId="23650" xr:uid="{5BC844D9-0FC7-475D-BEB2-CCA1F3B20749}"/>
    <cellStyle name="Currency 3 2 3 2 4 4" xfId="10986" xr:uid="{D1821641-9409-44A4-B604-850CF24B44CA}"/>
    <cellStyle name="Currency 3 2 3 2 4 5" xfId="19433" xr:uid="{FB2B2BB5-6944-43C3-BEC4-4ABEFB46F938}"/>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54457E15-E44E-4F1E-A73D-C051041AC2C3}"/>
    <cellStyle name="Currency 3 2 3 2 5 2 2 3" xfId="26208" xr:uid="{485FA9D4-952B-4B37-B2B7-E25F30A502E6}"/>
    <cellStyle name="Currency 3 2 3 2 5 2 3" xfId="13544" xr:uid="{EE148912-2805-4B01-B887-7DA227FB882A}"/>
    <cellStyle name="Currency 3 2 3 2 5 2 4" xfId="21991" xr:uid="{0D8B5B50-57D8-46DC-902F-98D22A19380A}"/>
    <cellStyle name="Currency 3 2 3 2 5 3" xfId="6290" xr:uid="{00000000-0005-0000-0000-0000100B0000}"/>
    <cellStyle name="Currency 3 2 3 2 5 3 2" xfId="15616" xr:uid="{96C29436-7B7E-445C-B8A2-C2809F3C1476}"/>
    <cellStyle name="Currency 3 2 3 2 5 3 3" xfId="24063" xr:uid="{4354E4C5-F5D1-4DF8-B46C-FB5533F53791}"/>
    <cellStyle name="Currency 3 2 3 2 5 4" xfId="11399" xr:uid="{832249BB-1F07-4452-A0E3-ACC5DE8A5972}"/>
    <cellStyle name="Currency 3 2 3 2 5 5" xfId="19846" xr:uid="{7A803AC9-63D1-4C61-B1F8-DBF58ACD23A4}"/>
    <cellStyle name="Currency 3 2 3 2 6" xfId="2419" xr:uid="{00000000-0005-0000-0000-0000110B0000}"/>
    <cellStyle name="Currency 3 2 3 2 6 2" xfId="6703" xr:uid="{00000000-0005-0000-0000-0000120B0000}"/>
    <cellStyle name="Currency 3 2 3 2 6 2 2" xfId="16029" xr:uid="{473DD203-1372-404B-9C1B-2016E0107588}"/>
    <cellStyle name="Currency 3 2 3 2 6 2 3" xfId="24476" xr:uid="{A4412F5F-05AF-4761-8C1D-3063295F704F}"/>
    <cellStyle name="Currency 3 2 3 2 6 3" xfId="11812" xr:uid="{20A80FEF-F6D9-49E1-8254-BEB21A0AF57D}"/>
    <cellStyle name="Currency 3 2 3 2 6 4" xfId="20259" xr:uid="{6C17489D-DFE8-42DF-AF25-C7A4AE34714C}"/>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F64A01FA-DE17-485A-AAA5-97DC49645E70}"/>
    <cellStyle name="Currency 3 2 3 2 8 2 3" xfId="24793" xr:uid="{ACB30F00-F4D1-49A5-B95C-6AE4644DF161}"/>
    <cellStyle name="Currency 3 2 3 2 8 3" xfId="12129" xr:uid="{88264068-2814-4097-AF52-741A5CA787E4}"/>
    <cellStyle name="Currency 3 2 3 2 8 4" xfId="20576" xr:uid="{1C08C244-7A2F-42FF-BE96-7E61A34A8E12}"/>
    <cellStyle name="Currency 3 2 3 2 9" xfId="4637" xr:uid="{00000000-0005-0000-0000-0000160B0000}"/>
    <cellStyle name="Currency 3 2 3 2 9 2" xfId="13963" xr:uid="{F5CC3BFB-FADF-49C6-A08D-631AD45A0215}"/>
    <cellStyle name="Currency 3 2 3 2 9 3" xfId="22410" xr:uid="{5F21AA61-F68A-4FC3-80DE-68D93C5050EA}"/>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324AFFC6-3CE3-411A-B6C3-EACD9D974623}"/>
    <cellStyle name="Currency 3 2 3 3 2 2 3" xfId="24968" xr:uid="{5A21FB09-8E98-4395-839B-286226BCFF58}"/>
    <cellStyle name="Currency 3 2 3 3 2 3" xfId="12304" xr:uid="{8CB5EB6E-DAE8-4E85-9CD9-C290984C53B5}"/>
    <cellStyle name="Currency 3 2 3 3 2 4" xfId="20751" xr:uid="{65D46CD9-4D72-4528-99C4-B29FE5698E8A}"/>
    <cellStyle name="Currency 3 2 3 3 3" xfId="5050" xr:uid="{00000000-0005-0000-0000-00001A0B0000}"/>
    <cellStyle name="Currency 3 2 3 3 3 2" xfId="14376" xr:uid="{B75F9EA5-B2F8-4A1D-AF74-558546ABA070}"/>
    <cellStyle name="Currency 3 2 3 3 3 3" xfId="22823" xr:uid="{417E4B5E-72DC-40FC-A887-212F04A40A26}"/>
    <cellStyle name="Currency 3 2 3 3 4" xfId="9318" xr:uid="{AA73873E-8E72-4FDE-A22E-F5D80E2A87B1}"/>
    <cellStyle name="Currency 3 2 3 3 5" xfId="10159" xr:uid="{321E5B30-8538-4079-A965-B2ADACC126ED}"/>
    <cellStyle name="Currency 3 2 3 3 6" xfId="18606" xr:uid="{CEBCA3DD-4D7F-4178-A45B-9A39F748C4A9}"/>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6AF03639-EF76-41B4-A281-7518F073E5F3}"/>
    <cellStyle name="Currency 3 2 3 4 2 2 3" xfId="25381" xr:uid="{77B0BC8B-C74C-4DB4-806A-E52384CB9E0A}"/>
    <cellStyle name="Currency 3 2 3 4 2 3" xfId="12717" xr:uid="{F5F5A654-337E-4E97-AD98-FB894718226A}"/>
    <cellStyle name="Currency 3 2 3 4 2 4" xfId="21164" xr:uid="{3EFE9E18-68CE-473C-A500-46FD3CBF396B}"/>
    <cellStyle name="Currency 3 2 3 4 3" xfId="5463" xr:uid="{00000000-0005-0000-0000-00001E0B0000}"/>
    <cellStyle name="Currency 3 2 3 4 3 2" xfId="14789" xr:uid="{E594972B-C8A2-49F4-BEAD-8D61A9F59F7A}"/>
    <cellStyle name="Currency 3 2 3 4 3 3" xfId="23236" xr:uid="{D46905B5-FE59-40A6-A09A-8AD1258EC440}"/>
    <cellStyle name="Currency 3 2 3 4 4" xfId="10572" xr:uid="{461EDAC2-4F44-44B3-896B-D6098354FB53}"/>
    <cellStyle name="Currency 3 2 3 4 5" xfId="19019" xr:uid="{3FDC3760-9C85-46D1-B0E4-1A7333FEC284}"/>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D28283D3-463D-4CB0-9CFB-9F177D6F25A0}"/>
    <cellStyle name="Currency 3 2 3 5 2 2 3" xfId="25794" xr:uid="{4C9D5286-32EE-4C94-8471-A993BAE4CABE}"/>
    <cellStyle name="Currency 3 2 3 5 2 3" xfId="13130" xr:uid="{FC1D432B-CEDE-4069-B766-69E4C90C7AEC}"/>
    <cellStyle name="Currency 3 2 3 5 2 4" xfId="21577" xr:uid="{FB2B33A4-109D-4F48-A930-D3F1120DC6D1}"/>
    <cellStyle name="Currency 3 2 3 5 3" xfId="5876" xr:uid="{00000000-0005-0000-0000-0000220B0000}"/>
    <cellStyle name="Currency 3 2 3 5 3 2" xfId="15202" xr:uid="{1CF947B7-FADC-4A97-8ACD-A6F14A87A610}"/>
    <cellStyle name="Currency 3 2 3 5 3 3" xfId="23649" xr:uid="{53FDF128-4904-4D25-A821-903BCA63F919}"/>
    <cellStyle name="Currency 3 2 3 5 4" xfId="10985" xr:uid="{7729FF19-F0EA-462E-87D1-D6AD2E382329}"/>
    <cellStyle name="Currency 3 2 3 5 5" xfId="19432" xr:uid="{626BD7B6-8762-4B23-946A-CBE1AFBA52DA}"/>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E46F0020-CFEE-4958-8A51-B44C00C72F1D}"/>
    <cellStyle name="Currency 3 2 3 6 2 2 3" xfId="26207" xr:uid="{620572BA-91EA-460C-B195-E01A856C2973}"/>
    <cellStyle name="Currency 3 2 3 6 2 3" xfId="13543" xr:uid="{85AE11D9-D90A-4C1A-9694-60CC50B9BCCA}"/>
    <cellStyle name="Currency 3 2 3 6 2 4" xfId="21990" xr:uid="{0DA95C4A-8A37-4F2F-9835-885CA5556647}"/>
    <cellStyle name="Currency 3 2 3 6 3" xfId="6289" xr:uid="{00000000-0005-0000-0000-0000260B0000}"/>
    <cellStyle name="Currency 3 2 3 6 3 2" xfId="15615" xr:uid="{C74350FC-638C-48C1-ABDF-EA01F81F3022}"/>
    <cellStyle name="Currency 3 2 3 6 3 3" xfId="24062" xr:uid="{9281350B-90CD-43CA-952D-E2B9287EAE1B}"/>
    <cellStyle name="Currency 3 2 3 6 4" xfId="11398" xr:uid="{FC54EFC2-7B99-43D3-ADC2-5B6BCCA136E9}"/>
    <cellStyle name="Currency 3 2 3 6 5" xfId="19845" xr:uid="{0DD2C1F5-5003-4115-B152-C28E1070B676}"/>
    <cellStyle name="Currency 3 2 3 7" xfId="2418" xr:uid="{00000000-0005-0000-0000-0000270B0000}"/>
    <cellStyle name="Currency 3 2 3 7 2" xfId="6702" xr:uid="{00000000-0005-0000-0000-0000280B0000}"/>
    <cellStyle name="Currency 3 2 3 7 2 2" xfId="16028" xr:uid="{6E01B610-3BA8-4F55-8869-E304A36AC723}"/>
    <cellStyle name="Currency 3 2 3 7 2 3" xfId="24475" xr:uid="{C9CCC781-53F6-4ADB-9802-170BE4D78F5E}"/>
    <cellStyle name="Currency 3 2 3 7 3" xfId="11811" xr:uid="{E6507A11-A56B-43CB-B821-B424D195AEEA}"/>
    <cellStyle name="Currency 3 2 3 7 4" xfId="20258" xr:uid="{B43F31D1-218F-42A1-89ED-32C758E68134}"/>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A0227493-F368-4D4D-A845-C793CA650C31}"/>
    <cellStyle name="Currency 3 2 3 9 2 3" xfId="24792" xr:uid="{00CD2733-8F09-4B5D-B8F3-B7F7ED82AE9B}"/>
    <cellStyle name="Currency 3 2 3 9 3" xfId="12128" xr:uid="{7606EAE5-9501-4074-9247-5B5D32F6A4E8}"/>
    <cellStyle name="Currency 3 2 3 9 4" xfId="20575" xr:uid="{55000BF7-6692-4F05-8B12-86F3611F029C}"/>
    <cellStyle name="Currency 3 2 4" xfId="184" xr:uid="{00000000-0005-0000-0000-00002C0B0000}"/>
    <cellStyle name="Currency 3 2 4 10" xfId="8997" xr:uid="{DF9FC022-A382-4135-990F-F43A472E13BA}"/>
    <cellStyle name="Currency 3 2 4 11" xfId="9747" xr:uid="{4C67F02B-F244-4226-BB89-D1FA255B0264}"/>
    <cellStyle name="Currency 3 2 4 12" xfId="18194" xr:uid="{FC7BCF44-3675-4E08-AB45-A3459197836A}"/>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43F166D0-843E-43AA-BA95-DBAF16B8D4CC}"/>
    <cellStyle name="Currency 3 2 4 2 2 2 3" xfId="24970" xr:uid="{E113258B-9A24-48B4-969C-417E6CBEA2E8}"/>
    <cellStyle name="Currency 3 2 4 2 2 3" xfId="12306" xr:uid="{EB62B2A6-30FE-4389-95A5-E19D7EF5C1B4}"/>
    <cellStyle name="Currency 3 2 4 2 2 4" xfId="20753" xr:uid="{54D37DD5-27D9-4BCC-B54B-2A584251F0FF}"/>
    <cellStyle name="Currency 3 2 4 2 3" xfId="5052" xr:uid="{00000000-0005-0000-0000-0000300B0000}"/>
    <cellStyle name="Currency 3 2 4 2 3 2" xfId="14378" xr:uid="{E045E5F2-1FF2-4913-A861-6F3ED57F3AE3}"/>
    <cellStyle name="Currency 3 2 4 2 3 3" xfId="22825" xr:uid="{9D30A7E6-0272-4F69-BE5B-3F943998CDC5}"/>
    <cellStyle name="Currency 3 2 4 2 4" xfId="9422" xr:uid="{3049B7CE-611E-437A-AD0B-2E3AA5E2E50D}"/>
    <cellStyle name="Currency 3 2 4 2 5" xfId="10161" xr:uid="{B56FF96F-8BFB-43E7-9E15-E19EF2B39AF3}"/>
    <cellStyle name="Currency 3 2 4 2 6" xfId="18608" xr:uid="{E1860F78-94F4-47CF-A73A-632AB9C9F0FD}"/>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97BD9AC3-F7D8-4246-9DD6-A54DA913BCBC}"/>
    <cellStyle name="Currency 3 2 4 3 2 2 3" xfId="25383" xr:uid="{CFEA7173-FB0E-4F95-BF95-7BC7F3E45EE6}"/>
    <cellStyle name="Currency 3 2 4 3 2 3" xfId="12719" xr:uid="{81022E5D-7F25-4DD7-8FFA-E99281408A00}"/>
    <cellStyle name="Currency 3 2 4 3 2 4" xfId="21166" xr:uid="{0FCDF8DE-614F-4808-84AB-0A37185CA414}"/>
    <cellStyle name="Currency 3 2 4 3 3" xfId="5465" xr:uid="{00000000-0005-0000-0000-0000340B0000}"/>
    <cellStyle name="Currency 3 2 4 3 3 2" xfId="14791" xr:uid="{CC65AE8B-CA09-49E1-88BA-D14BD55B4320}"/>
    <cellStyle name="Currency 3 2 4 3 3 3" xfId="23238" xr:uid="{8271B16E-61AF-4ABB-BDD3-430878D62D6D}"/>
    <cellStyle name="Currency 3 2 4 3 4" xfId="10574" xr:uid="{6A514FA2-D7EF-4A09-BB65-432D4F3E05D2}"/>
    <cellStyle name="Currency 3 2 4 3 5" xfId="19021" xr:uid="{8ECD3358-EC06-44DC-88CC-3A9F5BC2EEBB}"/>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EEF34133-BF63-4F9E-8DA2-6EEDCF31BF49}"/>
    <cellStyle name="Currency 3 2 4 4 2 2 3" xfId="25796" xr:uid="{B7BE7179-7CAE-41E8-9285-D1977D4293B2}"/>
    <cellStyle name="Currency 3 2 4 4 2 3" xfId="13132" xr:uid="{E932EF35-9FEE-4D5F-87EA-44A250AA2857}"/>
    <cellStyle name="Currency 3 2 4 4 2 4" xfId="21579" xr:uid="{210C58E7-ED2F-458F-B168-57EE6CBCEDCD}"/>
    <cellStyle name="Currency 3 2 4 4 3" xfId="5878" xr:uid="{00000000-0005-0000-0000-0000380B0000}"/>
    <cellStyle name="Currency 3 2 4 4 3 2" xfId="15204" xr:uid="{6A51884F-A915-487F-A07C-30C1062A6E3D}"/>
    <cellStyle name="Currency 3 2 4 4 3 3" xfId="23651" xr:uid="{5D865AB9-0890-4C34-99F9-CF0ADD746EDA}"/>
    <cellStyle name="Currency 3 2 4 4 4" xfId="10987" xr:uid="{695B570F-4F5D-4A44-95D3-2846C65207F6}"/>
    <cellStyle name="Currency 3 2 4 4 5" xfId="19434" xr:uid="{CAFF7E35-2B1C-4720-867B-5A2F630E488D}"/>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A57785F8-B4EA-4C5A-ABFC-A98671D341F8}"/>
    <cellStyle name="Currency 3 2 4 5 2 2 3" xfId="26209" xr:uid="{5A61C774-DAF4-4B15-8AF4-15D24E381D2E}"/>
    <cellStyle name="Currency 3 2 4 5 2 3" xfId="13545" xr:uid="{F297CD32-7703-430F-B9E0-C9A6DD39C5D8}"/>
    <cellStyle name="Currency 3 2 4 5 2 4" xfId="21992" xr:uid="{5B24C2BF-54D2-4AFB-81EA-6D54100A0683}"/>
    <cellStyle name="Currency 3 2 4 5 3" xfId="6291" xr:uid="{00000000-0005-0000-0000-00003C0B0000}"/>
    <cellStyle name="Currency 3 2 4 5 3 2" xfId="15617" xr:uid="{4C9CB799-FE24-4304-BE11-F52935B3CA6B}"/>
    <cellStyle name="Currency 3 2 4 5 3 3" xfId="24064" xr:uid="{38BEB889-4395-4946-B748-45C02543CBEA}"/>
    <cellStyle name="Currency 3 2 4 5 4" xfId="11400" xr:uid="{37D2A8D7-A21C-4E7D-882B-8E8C5E0DD28B}"/>
    <cellStyle name="Currency 3 2 4 5 5" xfId="19847" xr:uid="{7BD9138B-D7CF-4FB4-BD57-6E10F1E72BC0}"/>
    <cellStyle name="Currency 3 2 4 6" xfId="2420" xr:uid="{00000000-0005-0000-0000-00003D0B0000}"/>
    <cellStyle name="Currency 3 2 4 6 2" xfId="6704" xr:uid="{00000000-0005-0000-0000-00003E0B0000}"/>
    <cellStyle name="Currency 3 2 4 6 2 2" xfId="16030" xr:uid="{353ABAA3-BFE0-4520-9CF3-D0986B97451B}"/>
    <cellStyle name="Currency 3 2 4 6 2 3" xfId="24477" xr:uid="{AA3506AF-5B22-4C1E-9715-061FFA1094DB}"/>
    <cellStyle name="Currency 3 2 4 6 3" xfId="11813" xr:uid="{EF7490D0-C416-4FC6-B2AA-54A6C762B9EB}"/>
    <cellStyle name="Currency 3 2 4 6 4" xfId="20260" xr:uid="{FA90F329-BCCE-4B33-853B-60DC41921EF3}"/>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6F053F37-3548-45B6-98DA-9144628ED92F}"/>
    <cellStyle name="Currency 3 2 4 8 2 3" xfId="24794" xr:uid="{91BEE645-9F36-4323-A2FB-C1652ACD8356}"/>
    <cellStyle name="Currency 3 2 4 8 3" xfId="12130" xr:uid="{20ED96BF-40A9-4B08-8151-1F365516D042}"/>
    <cellStyle name="Currency 3 2 4 8 4" xfId="20577" xr:uid="{0B0D9834-B050-430F-9449-E904020E8CEE}"/>
    <cellStyle name="Currency 3 2 4 9" xfId="4638" xr:uid="{00000000-0005-0000-0000-0000420B0000}"/>
    <cellStyle name="Currency 3 2 4 9 2" xfId="13964" xr:uid="{9D950223-CF96-416E-BB0B-D723D0E7DB0A}"/>
    <cellStyle name="Currency 3 2 4 9 3" xfId="22411" xr:uid="{331719A1-3590-4168-AE8E-5A15E34AAD7B}"/>
    <cellStyle name="Currency 3 2 5" xfId="185" xr:uid="{00000000-0005-0000-0000-0000430B0000}"/>
    <cellStyle name="Currency 3 2 5 10" xfId="9214" xr:uid="{3D0A867F-0B9D-4759-A509-3EC1084E197B}"/>
    <cellStyle name="Currency 3 2 5 11" xfId="9748" xr:uid="{EAD4DA0C-FC5D-400E-AC02-7F6E4576D56B}"/>
    <cellStyle name="Currency 3 2 5 12" xfId="18195" xr:uid="{5A9F9906-A30A-41B4-9E5A-DFCD9E245F81}"/>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A80EFF7E-CDDA-4ADC-92F2-98798C5DFDA1}"/>
    <cellStyle name="Currency 3 2 5 2 2 2 3" xfId="24971" xr:uid="{1F5A2E9C-27C7-4BD2-8751-F5683B6A0105}"/>
    <cellStyle name="Currency 3 2 5 2 2 3" xfId="12307" xr:uid="{7AF8AD2D-01A7-4D0B-8EE1-3E0E945930CD}"/>
    <cellStyle name="Currency 3 2 5 2 2 4" xfId="20754" xr:uid="{4C992F79-3733-4DFD-B2FF-B6B68E6B0FF1}"/>
    <cellStyle name="Currency 3 2 5 2 3" xfId="5053" xr:uid="{00000000-0005-0000-0000-0000470B0000}"/>
    <cellStyle name="Currency 3 2 5 2 3 2" xfId="14379" xr:uid="{230AEAB2-B4DA-433D-AE13-8489483D827C}"/>
    <cellStyle name="Currency 3 2 5 2 3 3" xfId="22826" xr:uid="{988E5CB5-44DE-4259-AE4B-2CE5C901E0CF}"/>
    <cellStyle name="Currency 3 2 5 2 4" xfId="9597" xr:uid="{6E2F978E-96E4-4AD8-B4BD-1BE9D7E96A2F}"/>
    <cellStyle name="Currency 3 2 5 2 5" xfId="10162" xr:uid="{C80FFEE1-DDCE-4F5C-A822-131A449A18AF}"/>
    <cellStyle name="Currency 3 2 5 2 6" xfId="18609" xr:uid="{63C12641-3EEC-4EF8-8845-BD6D9BF79A0F}"/>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E2F49893-969D-4764-BD07-FFBE0B048797}"/>
    <cellStyle name="Currency 3 2 5 3 2 2 3" xfId="25384" xr:uid="{7F40119D-7C16-44E4-BBD3-2EA18A505EC0}"/>
    <cellStyle name="Currency 3 2 5 3 2 3" xfId="12720" xr:uid="{10B54BC5-81D8-4ACE-BACF-1287AD61553F}"/>
    <cellStyle name="Currency 3 2 5 3 2 4" xfId="21167" xr:uid="{E8F3EA55-5241-4BEE-8033-5B0FD75B10BB}"/>
    <cellStyle name="Currency 3 2 5 3 3" xfId="5466" xr:uid="{00000000-0005-0000-0000-00004B0B0000}"/>
    <cellStyle name="Currency 3 2 5 3 3 2" xfId="14792" xr:uid="{4EF23730-C56C-4D3D-9218-27A5869D7FC4}"/>
    <cellStyle name="Currency 3 2 5 3 3 3" xfId="23239" xr:uid="{ADB4A182-83D1-4793-951E-AA08AA114832}"/>
    <cellStyle name="Currency 3 2 5 3 4" xfId="10575" xr:uid="{6AFB7E0F-CCCE-48FA-8C1A-FE68817344B8}"/>
    <cellStyle name="Currency 3 2 5 3 5" xfId="19022" xr:uid="{30949A69-1261-46E6-92CB-962D1A717ADE}"/>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24217856-4F21-42ED-9972-4790105CC245}"/>
    <cellStyle name="Currency 3 2 5 4 2 2 3" xfId="25797" xr:uid="{C6015278-6516-418C-9007-6C8AC9F228B0}"/>
    <cellStyle name="Currency 3 2 5 4 2 3" xfId="13133" xr:uid="{BE7BEFA2-8F84-46F0-AC6A-ACA17CEFDCD5}"/>
    <cellStyle name="Currency 3 2 5 4 2 4" xfId="21580" xr:uid="{AD11FF3E-11A5-445A-B8A8-F7C0AD001210}"/>
    <cellStyle name="Currency 3 2 5 4 3" xfId="5879" xr:uid="{00000000-0005-0000-0000-00004F0B0000}"/>
    <cellStyle name="Currency 3 2 5 4 3 2" xfId="15205" xr:uid="{4B07A9AF-AE68-4F6E-84CD-CDC5B63502DC}"/>
    <cellStyle name="Currency 3 2 5 4 3 3" xfId="23652" xr:uid="{5A33FE39-713A-4694-AC47-A9D6FAA69CC8}"/>
    <cellStyle name="Currency 3 2 5 4 4" xfId="10988" xr:uid="{BDF2AB24-4B7D-471B-8BCB-88EA06B5C400}"/>
    <cellStyle name="Currency 3 2 5 4 5" xfId="19435" xr:uid="{D0581008-FFC2-437D-B9B4-3B23382F27DB}"/>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6D3993B4-FCA4-4A69-B3A9-0FD6FD14C519}"/>
    <cellStyle name="Currency 3 2 5 5 2 2 3" xfId="26210" xr:uid="{5EA41858-B5A2-430B-B1D4-F3D498C293E5}"/>
    <cellStyle name="Currency 3 2 5 5 2 3" xfId="13546" xr:uid="{9404133A-2198-497E-B862-8AA8335DE818}"/>
    <cellStyle name="Currency 3 2 5 5 2 4" xfId="21993" xr:uid="{054A5A54-CA0D-4809-9AEB-04183BAADECA}"/>
    <cellStyle name="Currency 3 2 5 5 3" xfId="6292" xr:uid="{00000000-0005-0000-0000-0000530B0000}"/>
    <cellStyle name="Currency 3 2 5 5 3 2" xfId="15618" xr:uid="{442F5917-086F-47E8-8035-715348407CCF}"/>
    <cellStyle name="Currency 3 2 5 5 3 3" xfId="24065" xr:uid="{EC419005-6D8C-4A46-BF4C-AE3CCB4A4936}"/>
    <cellStyle name="Currency 3 2 5 5 4" xfId="11401" xr:uid="{3DEF6BB9-FB6F-4E72-80BE-D1054FAE7E13}"/>
    <cellStyle name="Currency 3 2 5 5 5" xfId="19848" xr:uid="{A6B4CD21-358A-46E9-A419-B40AC0A80FC5}"/>
    <cellStyle name="Currency 3 2 5 6" xfId="2421" xr:uid="{00000000-0005-0000-0000-0000540B0000}"/>
    <cellStyle name="Currency 3 2 5 6 2" xfId="6705" xr:uid="{00000000-0005-0000-0000-0000550B0000}"/>
    <cellStyle name="Currency 3 2 5 6 2 2" xfId="16031" xr:uid="{9FDD14E0-87FE-4734-9224-F3ADA463D9A3}"/>
    <cellStyle name="Currency 3 2 5 6 2 3" xfId="24478" xr:uid="{EE7F9C9D-83C9-4A38-84A6-5A75F95C601A}"/>
    <cellStyle name="Currency 3 2 5 6 3" xfId="11814" xr:uid="{887D9EAA-BAD0-4D49-B029-A3DC77EE64F6}"/>
    <cellStyle name="Currency 3 2 5 6 4" xfId="20261" xr:uid="{58398FC3-9449-4CCD-8B14-527F77D4D921}"/>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7EE17931-141C-4F7A-9EC2-699B62FD445A}"/>
    <cellStyle name="Currency 3 2 5 8 2 3" xfId="24795" xr:uid="{AF6940AD-9527-4B53-A5B8-155638AC6BCE}"/>
    <cellStyle name="Currency 3 2 5 8 3" xfId="12131" xr:uid="{82A4DEE9-DC32-47CA-96E6-5FAFD620313A}"/>
    <cellStyle name="Currency 3 2 5 8 4" xfId="20578" xr:uid="{A6CEECF6-39D2-41FB-BB72-239425EE90E0}"/>
    <cellStyle name="Currency 3 2 5 9" xfId="4639" xr:uid="{00000000-0005-0000-0000-0000590B0000}"/>
    <cellStyle name="Currency 3 2 5 9 2" xfId="13965" xr:uid="{B177A451-A1A7-486D-936D-372A7608EA19}"/>
    <cellStyle name="Currency 3 2 5 9 3" xfId="22412" xr:uid="{3443BC2C-2A85-4A53-990D-263B98A3B74D}"/>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649B08BF-953B-43DD-94A3-52690C2697F8}"/>
    <cellStyle name="Currency 5 2 2 2 10 2 3" xfId="24796" xr:uid="{08A5F677-2C32-4658-AFD3-C99F0365736E}"/>
    <cellStyle name="Currency 5 2 2 2 10 3" xfId="12132" xr:uid="{1F87743B-622D-49FB-8B00-4845E8B0DF7D}"/>
    <cellStyle name="Currency 5 2 2 2 10 4" xfId="20579" xr:uid="{2A34DE24-53ED-4F35-9395-862427042869}"/>
    <cellStyle name="Currency 5 2 2 2 11" xfId="4640" xr:uid="{00000000-0005-0000-0000-00006C0B0000}"/>
    <cellStyle name="Currency 5 2 2 2 11 2" xfId="13966" xr:uid="{79E4662D-A639-499C-93FB-62931983D7AA}"/>
    <cellStyle name="Currency 5 2 2 2 11 3" xfId="22413" xr:uid="{55AA0661-538D-4BAF-B519-4D50FF6CF6FC}"/>
    <cellStyle name="Currency 5 2 2 2 12" xfId="8809" xr:uid="{6E2B58BA-BC61-49BF-A0FE-5BC79A050654}"/>
    <cellStyle name="Currency 5 2 2 2 13" xfId="9749" xr:uid="{9F3171D6-89A4-4291-8B10-9B62AA6B9510}"/>
    <cellStyle name="Currency 5 2 2 2 14" xfId="18196" xr:uid="{6464E1C1-20FC-4517-9329-48020EC09415}"/>
    <cellStyle name="Currency 5 2 2 2 2" xfId="197" xr:uid="{00000000-0005-0000-0000-00006D0B0000}"/>
    <cellStyle name="Currency 5 2 2 2 2 10" xfId="4641" xr:uid="{00000000-0005-0000-0000-00006E0B0000}"/>
    <cellStyle name="Currency 5 2 2 2 2 10 2" xfId="13967" xr:uid="{F890238F-0CF7-4186-B752-E573A4D24D4A}"/>
    <cellStyle name="Currency 5 2 2 2 2 10 3" xfId="22414" xr:uid="{51187D16-EAAA-47D3-8A96-C7E41020901F}"/>
    <cellStyle name="Currency 5 2 2 2 2 11" xfId="8912" xr:uid="{4079D27E-F98B-4445-AE20-FFD848158756}"/>
    <cellStyle name="Currency 5 2 2 2 2 12" xfId="9750" xr:uid="{284FA3B6-C1F0-4812-BEBF-1DED27FDAB54}"/>
    <cellStyle name="Currency 5 2 2 2 2 13" xfId="18197" xr:uid="{BFD41AF2-A2F8-41F3-86E7-06F3C352EA13}"/>
    <cellStyle name="Currency 5 2 2 2 2 2" xfId="198" xr:uid="{00000000-0005-0000-0000-00006F0B0000}"/>
    <cellStyle name="Currency 5 2 2 2 2 2 10" xfId="9119" xr:uid="{2B97CFE9-E9FD-476D-A341-C695293642F3}"/>
    <cellStyle name="Currency 5 2 2 2 2 2 11" xfId="9751" xr:uid="{D59D1293-404F-4AE3-8DFE-BCC5B6DA1CEB}"/>
    <cellStyle name="Currency 5 2 2 2 2 2 12" xfId="18198" xr:uid="{99D9BC1E-96B4-4550-8433-1D3427FC406A}"/>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751543D2-538F-4808-9024-443D323562B0}"/>
    <cellStyle name="Currency 5 2 2 2 2 2 2 2 2 3" xfId="24974" xr:uid="{A66F507A-EE8F-4ED4-A8B4-57A4C44B7383}"/>
    <cellStyle name="Currency 5 2 2 2 2 2 2 2 3" xfId="12310" xr:uid="{411EF5E9-CD1A-4876-9E7A-FC211B623D84}"/>
    <cellStyle name="Currency 5 2 2 2 2 2 2 2 4" xfId="20757" xr:uid="{ACB9EBFC-CDD3-4B01-9D8F-421CC7F4DE1F}"/>
    <cellStyle name="Currency 5 2 2 2 2 2 2 3" xfId="5056" xr:uid="{00000000-0005-0000-0000-0000730B0000}"/>
    <cellStyle name="Currency 5 2 2 2 2 2 2 3 2" xfId="14382" xr:uid="{36BE3976-4DB8-45D3-9A58-357CB94C2FF4}"/>
    <cellStyle name="Currency 5 2 2 2 2 2 2 3 3" xfId="22829" xr:uid="{63A31886-5769-426D-80FA-54A21BD2BE55}"/>
    <cellStyle name="Currency 5 2 2 2 2 2 2 4" xfId="9544" xr:uid="{77881B28-843C-4677-B92C-D2A5804BDB97}"/>
    <cellStyle name="Currency 5 2 2 2 2 2 2 5" xfId="10165" xr:uid="{7A3E435C-B520-4C5B-A6AC-CB9988D1D9AA}"/>
    <cellStyle name="Currency 5 2 2 2 2 2 2 6" xfId="18612" xr:uid="{419589AD-9EAA-4644-B2DD-9BC538E98CC5}"/>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3635557F-C46C-4EE0-97D9-8A14A7821ECE}"/>
    <cellStyle name="Currency 5 2 2 2 2 2 3 2 2 3" xfId="25387" xr:uid="{10F22B92-6C9A-4763-B37E-0261C81717B1}"/>
    <cellStyle name="Currency 5 2 2 2 2 2 3 2 3" xfId="12723" xr:uid="{DE3AD0BA-5F30-43C3-9DB8-1460A4BE10A0}"/>
    <cellStyle name="Currency 5 2 2 2 2 2 3 2 4" xfId="21170" xr:uid="{47937C7C-90BE-4C90-80EC-F8B9A6F9CD7D}"/>
    <cellStyle name="Currency 5 2 2 2 2 2 3 3" xfId="5469" xr:uid="{00000000-0005-0000-0000-0000770B0000}"/>
    <cellStyle name="Currency 5 2 2 2 2 2 3 3 2" xfId="14795" xr:uid="{AFB3E81F-8CA7-4806-8AC9-EDF2742807B9}"/>
    <cellStyle name="Currency 5 2 2 2 2 2 3 3 3" xfId="23242" xr:uid="{6DC8DD9E-E318-4901-A16D-2E91E3C8D71A}"/>
    <cellStyle name="Currency 5 2 2 2 2 2 3 4" xfId="10578" xr:uid="{471FF962-E917-479C-A7F2-C16698D7BECD}"/>
    <cellStyle name="Currency 5 2 2 2 2 2 3 5" xfId="19025" xr:uid="{7C902E13-0E5E-4F79-821B-511177DF7FD5}"/>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1E7F8E15-498E-49DB-9DE5-9E867330FCB7}"/>
    <cellStyle name="Currency 5 2 2 2 2 2 4 2 2 3" xfId="25800" xr:uid="{5946EF16-3DB4-47BC-A395-442065668711}"/>
    <cellStyle name="Currency 5 2 2 2 2 2 4 2 3" xfId="13136" xr:uid="{C7D868AB-1710-4808-AC89-B0A234C725C3}"/>
    <cellStyle name="Currency 5 2 2 2 2 2 4 2 4" xfId="21583" xr:uid="{39F47FAD-27B8-4D49-89B4-555131464C6D}"/>
    <cellStyle name="Currency 5 2 2 2 2 2 4 3" xfId="5882" xr:uid="{00000000-0005-0000-0000-00007B0B0000}"/>
    <cellStyle name="Currency 5 2 2 2 2 2 4 3 2" xfId="15208" xr:uid="{94C81CEB-E56F-45D2-81E4-C358C1DFAD78}"/>
    <cellStyle name="Currency 5 2 2 2 2 2 4 3 3" xfId="23655" xr:uid="{94C7415E-3A7D-466C-8D13-41104B70B60F}"/>
    <cellStyle name="Currency 5 2 2 2 2 2 4 4" xfId="10991" xr:uid="{941DBDC7-F3E1-479D-A8C7-4917508B4590}"/>
    <cellStyle name="Currency 5 2 2 2 2 2 4 5" xfId="19438" xr:uid="{507BEB19-0193-4456-8112-AB1034498913}"/>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8EF69AC3-EA94-4018-9C82-84B4752769F8}"/>
    <cellStyle name="Currency 5 2 2 2 2 2 5 2 2 3" xfId="26213" xr:uid="{5E726DEC-762A-4E39-A61E-71E133452DD7}"/>
    <cellStyle name="Currency 5 2 2 2 2 2 5 2 3" xfId="13549" xr:uid="{70FB31C8-BA00-41A6-AAD2-76111B2799EA}"/>
    <cellStyle name="Currency 5 2 2 2 2 2 5 2 4" xfId="21996" xr:uid="{07087912-4260-46A5-9EA2-F3659CCD29CC}"/>
    <cellStyle name="Currency 5 2 2 2 2 2 5 3" xfId="6295" xr:uid="{00000000-0005-0000-0000-00007F0B0000}"/>
    <cellStyle name="Currency 5 2 2 2 2 2 5 3 2" xfId="15621" xr:uid="{E644D698-C46E-41F9-B1EA-1AFCC7CDAA86}"/>
    <cellStyle name="Currency 5 2 2 2 2 2 5 3 3" xfId="24068" xr:uid="{FA277E73-D584-4CB1-83AE-243AADFF9DB1}"/>
    <cellStyle name="Currency 5 2 2 2 2 2 5 4" xfId="11404" xr:uid="{3C94FC59-6F95-4094-92DE-E9B59F776A97}"/>
    <cellStyle name="Currency 5 2 2 2 2 2 5 5" xfId="19851" xr:uid="{A67AC518-2EC2-44F3-B568-F445DBABB5B1}"/>
    <cellStyle name="Currency 5 2 2 2 2 2 6" xfId="2424" xr:uid="{00000000-0005-0000-0000-0000800B0000}"/>
    <cellStyle name="Currency 5 2 2 2 2 2 6 2" xfId="6708" xr:uid="{00000000-0005-0000-0000-0000810B0000}"/>
    <cellStyle name="Currency 5 2 2 2 2 2 6 2 2" xfId="16034" xr:uid="{9A5BBCA6-92CC-4B8B-84C1-33AB745BCFD8}"/>
    <cellStyle name="Currency 5 2 2 2 2 2 6 2 3" xfId="24481" xr:uid="{1C8BBB4A-537A-491A-A985-D76124A8924E}"/>
    <cellStyle name="Currency 5 2 2 2 2 2 6 3" xfId="11817" xr:uid="{0AA2ED8B-D2F8-4409-91FC-30D3AC101D70}"/>
    <cellStyle name="Currency 5 2 2 2 2 2 6 4" xfId="20264" xr:uid="{9FABF659-2B82-4162-A5BC-3F512F805093}"/>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49411812-F559-4A25-BC85-280B0F16197E}"/>
    <cellStyle name="Currency 5 2 2 2 2 2 8 2 3" xfId="24798" xr:uid="{3A29D45E-331E-4B23-AA93-6E0F52A816ED}"/>
    <cellStyle name="Currency 5 2 2 2 2 2 8 3" xfId="12134" xr:uid="{67686BE7-34F9-4D4C-8268-97E38C5F1325}"/>
    <cellStyle name="Currency 5 2 2 2 2 2 8 4" xfId="20581" xr:uid="{17F841A4-B9EC-444B-B900-1B137D430186}"/>
    <cellStyle name="Currency 5 2 2 2 2 2 9" xfId="4642" xr:uid="{00000000-0005-0000-0000-0000850B0000}"/>
    <cellStyle name="Currency 5 2 2 2 2 2 9 2" xfId="13968" xr:uid="{E809CC86-3451-4A5E-9AE6-4B4C07550802}"/>
    <cellStyle name="Currency 5 2 2 2 2 2 9 3" xfId="22415" xr:uid="{F83FE6D2-5977-4F6F-8C42-6D6327804DF1}"/>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AF39D33E-513F-46CA-BDB6-478794ECD6C9}"/>
    <cellStyle name="Currency 5 2 2 2 2 3 2 2 3" xfId="24973" xr:uid="{011534AA-8816-4178-A21E-D5EE60D0A4A8}"/>
    <cellStyle name="Currency 5 2 2 2 2 3 2 3" xfId="12309" xr:uid="{B9102C9D-8E82-496C-8E12-9960515E529D}"/>
    <cellStyle name="Currency 5 2 2 2 2 3 2 4" xfId="20756" xr:uid="{E15BAC58-7851-4215-8A25-614C95AD519B}"/>
    <cellStyle name="Currency 5 2 2 2 2 3 3" xfId="5055" xr:uid="{00000000-0005-0000-0000-0000890B0000}"/>
    <cellStyle name="Currency 5 2 2 2 2 3 3 2" xfId="14381" xr:uid="{FCB804B5-5B9E-4F63-991A-C8F027E49A0D}"/>
    <cellStyle name="Currency 5 2 2 2 2 3 3 3" xfId="22828" xr:uid="{2EBEFD14-0AC9-41E6-B7B8-5A19B9B4A10B}"/>
    <cellStyle name="Currency 5 2 2 2 2 3 4" xfId="9337" xr:uid="{A1FF44B9-A8E0-4A4E-9BE9-DA7FD7E326AE}"/>
    <cellStyle name="Currency 5 2 2 2 2 3 5" xfId="10164" xr:uid="{0F9189B1-8EA8-43D2-9FA7-1F36AEB97CEB}"/>
    <cellStyle name="Currency 5 2 2 2 2 3 6" xfId="18611" xr:uid="{59B0A519-7B5B-4891-BF4D-DC20A1A04804}"/>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52FED13F-B243-4D38-B466-A9E12D8052E0}"/>
    <cellStyle name="Currency 5 2 2 2 2 4 2 2 3" xfId="25386" xr:uid="{9C22C670-24FC-4EE7-9E9C-DDB2B392B12D}"/>
    <cellStyle name="Currency 5 2 2 2 2 4 2 3" xfId="12722" xr:uid="{55944BD2-35C0-45A5-8BF0-D6BEA200AF3E}"/>
    <cellStyle name="Currency 5 2 2 2 2 4 2 4" xfId="21169" xr:uid="{F965242E-6B72-4D11-B419-CEF4C25A1BDF}"/>
    <cellStyle name="Currency 5 2 2 2 2 4 3" xfId="5468" xr:uid="{00000000-0005-0000-0000-00008D0B0000}"/>
    <cellStyle name="Currency 5 2 2 2 2 4 3 2" xfId="14794" xr:uid="{4B26745A-EA2F-4A1F-A404-A157B3F058FA}"/>
    <cellStyle name="Currency 5 2 2 2 2 4 3 3" xfId="23241" xr:uid="{91E85058-1CE8-470C-AB82-2D925F135B20}"/>
    <cellStyle name="Currency 5 2 2 2 2 4 4" xfId="10577" xr:uid="{583F5FFF-ABCC-4351-B7DA-64004456EE38}"/>
    <cellStyle name="Currency 5 2 2 2 2 4 5" xfId="19024" xr:uid="{DC452271-1A05-4E72-8B8E-543D20058F13}"/>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4EE0D018-9A6E-40FB-BE66-36C80307D56E}"/>
    <cellStyle name="Currency 5 2 2 2 2 5 2 2 3" xfId="25799" xr:uid="{81503DC0-9297-4A62-9FA8-523F44F253AD}"/>
    <cellStyle name="Currency 5 2 2 2 2 5 2 3" xfId="13135" xr:uid="{F3926F03-7FD8-4F70-9901-882EED5DCB52}"/>
    <cellStyle name="Currency 5 2 2 2 2 5 2 4" xfId="21582" xr:uid="{A154DD6E-3A95-4DEF-B96C-F53770D15A9B}"/>
    <cellStyle name="Currency 5 2 2 2 2 5 3" xfId="5881" xr:uid="{00000000-0005-0000-0000-0000910B0000}"/>
    <cellStyle name="Currency 5 2 2 2 2 5 3 2" xfId="15207" xr:uid="{BD8AB2F9-5DAC-4663-8AA1-E3F732C06A44}"/>
    <cellStyle name="Currency 5 2 2 2 2 5 3 3" xfId="23654" xr:uid="{B7F9BAFD-1140-4DDA-A7FD-AAD078702D44}"/>
    <cellStyle name="Currency 5 2 2 2 2 5 4" xfId="10990" xr:uid="{68058944-6D43-400D-82E5-EAB2AA239830}"/>
    <cellStyle name="Currency 5 2 2 2 2 5 5" xfId="19437" xr:uid="{D4F6BC41-C450-4AEB-9A20-0292E476BCD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063DE987-0C94-4C0F-916B-C0CBCCF39EBF}"/>
    <cellStyle name="Currency 5 2 2 2 2 6 2 2 3" xfId="26212" xr:uid="{3ED1BE93-BFAE-4108-8653-8B70EC736687}"/>
    <cellStyle name="Currency 5 2 2 2 2 6 2 3" xfId="13548" xr:uid="{F801DDCE-5FED-4757-A5E4-3A48CC240E4E}"/>
    <cellStyle name="Currency 5 2 2 2 2 6 2 4" xfId="21995" xr:uid="{71F9DEBB-6D26-41FE-9F8B-945A71EE4423}"/>
    <cellStyle name="Currency 5 2 2 2 2 6 3" xfId="6294" xr:uid="{00000000-0005-0000-0000-0000950B0000}"/>
    <cellStyle name="Currency 5 2 2 2 2 6 3 2" xfId="15620" xr:uid="{C34EA740-16DB-4136-9310-F04475DDFBA6}"/>
    <cellStyle name="Currency 5 2 2 2 2 6 3 3" xfId="24067" xr:uid="{90923FCC-ED4D-470E-B4ED-F852625F4AF0}"/>
    <cellStyle name="Currency 5 2 2 2 2 6 4" xfId="11403" xr:uid="{CA9ED804-4E4A-4928-9A10-397D66AFDC61}"/>
    <cellStyle name="Currency 5 2 2 2 2 6 5" xfId="19850" xr:uid="{D26B2A1B-5530-4C2B-B813-D4485C0D548C}"/>
    <cellStyle name="Currency 5 2 2 2 2 7" xfId="2423" xr:uid="{00000000-0005-0000-0000-0000960B0000}"/>
    <cellStyle name="Currency 5 2 2 2 2 7 2" xfId="6707" xr:uid="{00000000-0005-0000-0000-0000970B0000}"/>
    <cellStyle name="Currency 5 2 2 2 2 7 2 2" xfId="16033" xr:uid="{91F7E9A6-E434-4BDC-A1C4-0B3A57EB4E40}"/>
    <cellStyle name="Currency 5 2 2 2 2 7 2 3" xfId="24480" xr:uid="{417AD446-7EEB-4F11-81D6-90EBAF56717A}"/>
    <cellStyle name="Currency 5 2 2 2 2 7 3" xfId="11816" xr:uid="{4B9212D1-C849-4CC1-93FE-7AC38E4BB6DA}"/>
    <cellStyle name="Currency 5 2 2 2 2 7 4" xfId="20263" xr:uid="{D9F29582-3F78-4C49-9FEE-FDF75F5746DB}"/>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9339D39A-4AC9-4EEA-98CD-E1F61E4A0EAE}"/>
    <cellStyle name="Currency 5 2 2 2 2 9 2 3" xfId="24797" xr:uid="{FB06F999-4A04-4796-828E-308C53781EEC}"/>
    <cellStyle name="Currency 5 2 2 2 2 9 3" xfId="12133" xr:uid="{081840E8-BBE0-401D-8E6F-61383E4CC9B2}"/>
    <cellStyle name="Currency 5 2 2 2 2 9 4" xfId="20580" xr:uid="{99FE246A-A5A0-4C69-803D-FC64A5F89990}"/>
    <cellStyle name="Currency 5 2 2 2 3" xfId="199" xr:uid="{00000000-0005-0000-0000-00009B0B0000}"/>
    <cellStyle name="Currency 5 2 2 2 3 10" xfId="9016" xr:uid="{706F9706-E49D-4995-B402-A842C879DBC8}"/>
    <cellStyle name="Currency 5 2 2 2 3 11" xfId="9752" xr:uid="{47E433FD-CBD0-49C2-B108-0F521A3DE340}"/>
    <cellStyle name="Currency 5 2 2 2 3 12" xfId="18199" xr:uid="{3F91CE49-70F1-42CB-95C9-412EF66E968D}"/>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F7FDB113-9748-4136-8940-1DE08A987578}"/>
    <cellStyle name="Currency 5 2 2 2 3 2 2 2 3" xfId="24975" xr:uid="{E0B1EA4A-C217-4E07-9AE8-40830526492B}"/>
    <cellStyle name="Currency 5 2 2 2 3 2 2 3" xfId="12311" xr:uid="{803D544E-9B69-48F1-83E5-6F11A403B296}"/>
    <cellStyle name="Currency 5 2 2 2 3 2 2 4" xfId="20758" xr:uid="{2AA7C288-6B4E-42CA-9A1E-094703263B21}"/>
    <cellStyle name="Currency 5 2 2 2 3 2 3" xfId="5057" xr:uid="{00000000-0005-0000-0000-00009F0B0000}"/>
    <cellStyle name="Currency 5 2 2 2 3 2 3 2" xfId="14383" xr:uid="{F61A4ACA-AA0B-4F91-BDE0-2819E36F314A}"/>
    <cellStyle name="Currency 5 2 2 2 3 2 3 3" xfId="22830" xr:uid="{968C84F7-209E-4A15-BA68-AD4B0EE603E8}"/>
    <cellStyle name="Currency 5 2 2 2 3 2 4" xfId="9441" xr:uid="{B7048274-E02F-4E6A-9C9A-FAD4299F19B1}"/>
    <cellStyle name="Currency 5 2 2 2 3 2 5" xfId="10166" xr:uid="{6FED6E46-0BBF-49D2-A665-5965DF0FFB7B}"/>
    <cellStyle name="Currency 5 2 2 2 3 2 6" xfId="18613" xr:uid="{8108516B-3D8C-4D95-96D0-D74C2B0010EA}"/>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51EAEE5C-12EE-4672-9A4B-F0433A1E06BC}"/>
    <cellStyle name="Currency 5 2 2 2 3 3 2 2 3" xfId="25388" xr:uid="{2E2D58DE-3A01-49B0-944A-62ABA75AD42D}"/>
    <cellStyle name="Currency 5 2 2 2 3 3 2 3" xfId="12724" xr:uid="{865C420E-2B43-46D8-A0B0-A2D28D31336D}"/>
    <cellStyle name="Currency 5 2 2 2 3 3 2 4" xfId="21171" xr:uid="{5DB96A92-D3F0-442C-B45E-E6242099B36E}"/>
    <cellStyle name="Currency 5 2 2 2 3 3 3" xfId="5470" xr:uid="{00000000-0005-0000-0000-0000A30B0000}"/>
    <cellStyle name="Currency 5 2 2 2 3 3 3 2" xfId="14796" xr:uid="{B847DC7A-C2FD-4E62-BBC6-C4B0D8B6C974}"/>
    <cellStyle name="Currency 5 2 2 2 3 3 3 3" xfId="23243" xr:uid="{00EE782A-C379-4D3D-A759-E51FB5ECA594}"/>
    <cellStyle name="Currency 5 2 2 2 3 3 4" xfId="10579" xr:uid="{C051409E-1464-4E6F-8344-20E48A6AE33C}"/>
    <cellStyle name="Currency 5 2 2 2 3 3 5" xfId="19026" xr:uid="{D0FDF587-18FC-4D1C-85C7-095FA547985A}"/>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C5A573A5-DBCC-447F-9BCC-E05C8663823E}"/>
    <cellStyle name="Currency 5 2 2 2 3 4 2 2 3" xfId="25801" xr:uid="{8D6971BC-1C6F-4AD7-A4A9-E4CBA7D9C8B5}"/>
    <cellStyle name="Currency 5 2 2 2 3 4 2 3" xfId="13137" xr:uid="{32DD86A8-7B5F-43E2-BC01-B02CE258DC0A}"/>
    <cellStyle name="Currency 5 2 2 2 3 4 2 4" xfId="21584" xr:uid="{C079A18F-BC41-409D-87A5-F61F3668E6DF}"/>
    <cellStyle name="Currency 5 2 2 2 3 4 3" xfId="5883" xr:uid="{00000000-0005-0000-0000-0000A70B0000}"/>
    <cellStyle name="Currency 5 2 2 2 3 4 3 2" xfId="15209" xr:uid="{D2A6645D-9BAD-4787-9449-5A6F42E94C12}"/>
    <cellStyle name="Currency 5 2 2 2 3 4 3 3" xfId="23656" xr:uid="{AAD25E14-EFA7-446A-928C-D9C8CB4D9FBC}"/>
    <cellStyle name="Currency 5 2 2 2 3 4 4" xfId="10992" xr:uid="{F65A122A-072D-43DF-8975-F6C9B2E79BAF}"/>
    <cellStyle name="Currency 5 2 2 2 3 4 5" xfId="19439" xr:uid="{51C3B9A1-D45B-49AC-B58D-2CFE25B49621}"/>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5DBF1FB1-0BD8-462B-B81E-C8D63FD9C240}"/>
    <cellStyle name="Currency 5 2 2 2 3 5 2 2 3" xfId="26214" xr:uid="{8917929B-E0BF-4CD7-9D12-8B36CCD1BC9C}"/>
    <cellStyle name="Currency 5 2 2 2 3 5 2 3" xfId="13550" xr:uid="{878AEA6B-ECCF-480C-8835-AD38AFA872C6}"/>
    <cellStyle name="Currency 5 2 2 2 3 5 2 4" xfId="21997" xr:uid="{A6EA427B-60D2-45C7-AC33-434EADEA44EE}"/>
    <cellStyle name="Currency 5 2 2 2 3 5 3" xfId="6296" xr:uid="{00000000-0005-0000-0000-0000AB0B0000}"/>
    <cellStyle name="Currency 5 2 2 2 3 5 3 2" xfId="15622" xr:uid="{80B4A4CD-904D-4D9E-A806-6471878EFC62}"/>
    <cellStyle name="Currency 5 2 2 2 3 5 3 3" xfId="24069" xr:uid="{9E4CFCD7-DCCC-46B6-97D2-4914C1D892D9}"/>
    <cellStyle name="Currency 5 2 2 2 3 5 4" xfId="11405" xr:uid="{2B8D72D0-0B29-4490-B333-CF8B3197C3BB}"/>
    <cellStyle name="Currency 5 2 2 2 3 5 5" xfId="19852" xr:uid="{37D79051-3190-4C69-A7FE-1D4BA251FCEC}"/>
    <cellStyle name="Currency 5 2 2 2 3 6" xfId="2425" xr:uid="{00000000-0005-0000-0000-0000AC0B0000}"/>
    <cellStyle name="Currency 5 2 2 2 3 6 2" xfId="6709" xr:uid="{00000000-0005-0000-0000-0000AD0B0000}"/>
    <cellStyle name="Currency 5 2 2 2 3 6 2 2" xfId="16035" xr:uid="{08C23474-ED02-4C22-ADB6-827B9293631F}"/>
    <cellStyle name="Currency 5 2 2 2 3 6 2 3" xfId="24482" xr:uid="{0CD08A61-0477-4262-A57F-639F71C5DA46}"/>
    <cellStyle name="Currency 5 2 2 2 3 6 3" xfId="11818" xr:uid="{42248E90-C26D-4110-B7D1-E1C97FA74955}"/>
    <cellStyle name="Currency 5 2 2 2 3 6 4" xfId="20265" xr:uid="{B01BD796-835B-4214-82BF-8ADFA07CCF24}"/>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156F9827-82E2-43C8-8BE2-3A6A5EFEAA19}"/>
    <cellStyle name="Currency 5 2 2 2 3 8 2 3" xfId="24799" xr:uid="{9598CC4F-324A-46EE-806E-69FBF88D163B}"/>
    <cellStyle name="Currency 5 2 2 2 3 8 3" xfId="12135" xr:uid="{8C2D9C20-BE67-44C4-A58C-7D13C94FA031}"/>
    <cellStyle name="Currency 5 2 2 2 3 8 4" xfId="20582" xr:uid="{F21AE017-603E-4083-8389-054FA5F8A7A7}"/>
    <cellStyle name="Currency 5 2 2 2 3 9" xfId="4643" xr:uid="{00000000-0005-0000-0000-0000B10B0000}"/>
    <cellStyle name="Currency 5 2 2 2 3 9 2" xfId="13969" xr:uid="{A5D7BEC0-F3C7-4DA8-B85F-9E16DA887653}"/>
    <cellStyle name="Currency 5 2 2 2 3 9 3" xfId="22416" xr:uid="{48B9AD01-E7F3-41DE-9557-E17616F1DE2A}"/>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CBBB940E-8252-4F92-9791-9C5874BD76E7}"/>
    <cellStyle name="Currency 5 2 2 2 4 2 2 3" xfId="24972" xr:uid="{D5CF50A0-BF1B-4500-B482-F4F63C24C95C}"/>
    <cellStyle name="Currency 5 2 2 2 4 2 3" xfId="12308" xr:uid="{BCE011FD-0155-4E68-8888-E6CC5CEB83A9}"/>
    <cellStyle name="Currency 5 2 2 2 4 2 4" xfId="20755" xr:uid="{2A9ED529-3130-467F-865C-1811D0934ABF}"/>
    <cellStyle name="Currency 5 2 2 2 4 3" xfId="5054" xr:uid="{00000000-0005-0000-0000-0000B50B0000}"/>
    <cellStyle name="Currency 5 2 2 2 4 3 2" xfId="14380" xr:uid="{B7A693F8-DF81-4BA1-9D91-49AF855FD102}"/>
    <cellStyle name="Currency 5 2 2 2 4 3 3" xfId="22827" xr:uid="{7A543AD5-3FE1-4CDF-A7BB-295374466008}"/>
    <cellStyle name="Currency 5 2 2 2 4 4" xfId="9234" xr:uid="{AAF147FE-13D8-48BD-A722-062B96166D61}"/>
    <cellStyle name="Currency 5 2 2 2 4 5" xfId="10163" xr:uid="{22058545-933A-49D9-8AE3-D0D45AFC8076}"/>
    <cellStyle name="Currency 5 2 2 2 4 6" xfId="18610" xr:uid="{77AF83DC-52C5-481F-81E3-4BA76E35BA45}"/>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0DC69C35-CDE8-42A1-A079-673586698413}"/>
    <cellStyle name="Currency 5 2 2 2 5 2 2 3" xfId="25385" xr:uid="{C7DD9927-6958-40B3-BB89-BA48BF096943}"/>
    <cellStyle name="Currency 5 2 2 2 5 2 3" xfId="12721" xr:uid="{9EE96733-FD3B-43E6-B49F-95A4D56519C8}"/>
    <cellStyle name="Currency 5 2 2 2 5 2 4" xfId="21168" xr:uid="{E641EC1F-6802-4BC0-9E70-B9A44641469D}"/>
    <cellStyle name="Currency 5 2 2 2 5 3" xfId="5467" xr:uid="{00000000-0005-0000-0000-0000B90B0000}"/>
    <cellStyle name="Currency 5 2 2 2 5 3 2" xfId="14793" xr:uid="{422B2465-725B-4FC8-B71E-B7D9B27E9100}"/>
    <cellStyle name="Currency 5 2 2 2 5 3 3" xfId="23240" xr:uid="{265E1FDF-B3F2-46B2-95F4-CE8E0897DB2A}"/>
    <cellStyle name="Currency 5 2 2 2 5 4" xfId="10576" xr:uid="{E3495632-3012-46A9-A5DA-E72345F4CC62}"/>
    <cellStyle name="Currency 5 2 2 2 5 5" xfId="19023" xr:uid="{124A7A6D-46E6-46DF-ABF1-5511F3E44905}"/>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CA3E7F53-E383-48B4-8AD8-0E22030E466C}"/>
    <cellStyle name="Currency 5 2 2 2 6 2 2 3" xfId="25798" xr:uid="{33721417-F030-4F2C-BC4E-0851358C6E57}"/>
    <cellStyle name="Currency 5 2 2 2 6 2 3" xfId="13134" xr:uid="{412E020C-ECA5-4394-A008-01FA65232D0B}"/>
    <cellStyle name="Currency 5 2 2 2 6 2 4" xfId="21581" xr:uid="{63EFD729-72C2-4A15-BB1A-B474F9398D9B}"/>
    <cellStyle name="Currency 5 2 2 2 6 3" xfId="5880" xr:uid="{00000000-0005-0000-0000-0000BD0B0000}"/>
    <cellStyle name="Currency 5 2 2 2 6 3 2" xfId="15206" xr:uid="{6B19ADFA-1340-435E-8ACB-EF5468FB96C6}"/>
    <cellStyle name="Currency 5 2 2 2 6 3 3" xfId="23653" xr:uid="{DDF1309F-7924-4A1A-927A-78166D1CE15C}"/>
    <cellStyle name="Currency 5 2 2 2 6 4" xfId="10989" xr:uid="{A9E390C9-E457-475F-A4BF-346679B78692}"/>
    <cellStyle name="Currency 5 2 2 2 6 5" xfId="19436" xr:uid="{EBAE7824-4E43-4775-A5FF-A94565D4B52C}"/>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32700332-4004-4649-9E92-EB9EB05781DB}"/>
    <cellStyle name="Currency 5 2 2 2 7 2 2 3" xfId="26211" xr:uid="{B44BE027-F72B-49FC-92A0-D5E3F0388D5B}"/>
    <cellStyle name="Currency 5 2 2 2 7 2 3" xfId="13547" xr:uid="{CE2E2C45-365E-448F-8DA2-A45C416E3A04}"/>
    <cellStyle name="Currency 5 2 2 2 7 2 4" xfId="21994" xr:uid="{CC55F8BF-AEA5-42B8-87F0-EB8A606D65B2}"/>
    <cellStyle name="Currency 5 2 2 2 7 3" xfId="6293" xr:uid="{00000000-0005-0000-0000-0000C10B0000}"/>
    <cellStyle name="Currency 5 2 2 2 7 3 2" xfId="15619" xr:uid="{52583028-81FE-49F2-AF1A-4E599A4A7BDC}"/>
    <cellStyle name="Currency 5 2 2 2 7 3 3" xfId="24066" xr:uid="{865C8626-C571-46A9-BA1A-AA4D5C53DA62}"/>
    <cellStyle name="Currency 5 2 2 2 7 4" xfId="11402" xr:uid="{33538AE8-DF46-4E6F-B9E4-0025BE646157}"/>
    <cellStyle name="Currency 5 2 2 2 7 5" xfId="19849" xr:uid="{666978B2-32CF-4CCB-AB7E-B0D20A46BC7F}"/>
    <cellStyle name="Currency 5 2 2 2 8" xfId="2422" xr:uid="{00000000-0005-0000-0000-0000C20B0000}"/>
    <cellStyle name="Currency 5 2 2 2 8 2" xfId="6706" xr:uid="{00000000-0005-0000-0000-0000C30B0000}"/>
    <cellStyle name="Currency 5 2 2 2 8 2 2" xfId="16032" xr:uid="{2E59821D-6258-4AA8-B67E-AE68C82BC5FC}"/>
    <cellStyle name="Currency 5 2 2 2 8 2 3" xfId="24479" xr:uid="{82ABECB3-7A3A-4F33-BFDF-4E00A83C4F0B}"/>
    <cellStyle name="Currency 5 2 2 2 8 3" xfId="11815" xr:uid="{1A4EAADA-8D31-44A1-9A82-E98D9D922D6F}"/>
    <cellStyle name="Currency 5 2 2 2 8 4" xfId="20262" xr:uid="{A1A23531-4380-4634-852F-3A2473F5DC7B}"/>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620C1BA2-94CB-446D-B93D-0C30069F0401}"/>
    <cellStyle name="Currency 5 2 2 3 10 3" xfId="22417" xr:uid="{0A565715-7AD6-4971-91DB-E3D8CB7DB05E}"/>
    <cellStyle name="Currency 5 2 2 3 11" xfId="8890" xr:uid="{F313D4EC-7666-4BAA-9452-39176957C213}"/>
    <cellStyle name="Currency 5 2 2 3 12" xfId="9753" xr:uid="{23A55961-D648-41AF-B08A-1E74F3D182CB}"/>
    <cellStyle name="Currency 5 2 2 3 13" xfId="18200" xr:uid="{699DF416-3608-428E-BAFA-0F2BD21E2734}"/>
    <cellStyle name="Currency 5 2 2 3 2" xfId="201" xr:uid="{00000000-0005-0000-0000-0000C70B0000}"/>
    <cellStyle name="Currency 5 2 2 3 2 10" xfId="9097" xr:uid="{74199D2F-F17A-42DD-AC8B-D958FBFFCA8B}"/>
    <cellStyle name="Currency 5 2 2 3 2 11" xfId="9754" xr:uid="{E58FBBFB-3F1F-48E5-8C7D-724AD20FFCBB}"/>
    <cellStyle name="Currency 5 2 2 3 2 12" xfId="18201" xr:uid="{CA3A4545-E547-4B16-87D0-D6998E5FCA9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E2963F4C-005B-4460-86AD-09D1D0AE4CDA}"/>
    <cellStyle name="Currency 5 2 2 3 2 2 2 2 3" xfId="24977" xr:uid="{5886B285-47F0-4881-8BD1-86ACDB0A3052}"/>
    <cellStyle name="Currency 5 2 2 3 2 2 2 3" xfId="12313" xr:uid="{0DD0BB7A-BF78-4C8B-B18B-3C7475EA2FA1}"/>
    <cellStyle name="Currency 5 2 2 3 2 2 2 4" xfId="20760" xr:uid="{484E8412-BDB2-49E4-A580-3CA353B1C7E4}"/>
    <cellStyle name="Currency 5 2 2 3 2 2 3" xfId="5059" xr:uid="{00000000-0005-0000-0000-0000CB0B0000}"/>
    <cellStyle name="Currency 5 2 2 3 2 2 3 2" xfId="14385" xr:uid="{C330CC2B-27CD-4363-BB03-9572C44E70D1}"/>
    <cellStyle name="Currency 5 2 2 3 2 2 3 3" xfId="22832" xr:uid="{CE081978-5FDE-4BDF-9AEC-F9394F34DF46}"/>
    <cellStyle name="Currency 5 2 2 3 2 2 4" xfId="9522" xr:uid="{58EAFCD4-DA5B-47CB-A637-29DA003AA3FD}"/>
    <cellStyle name="Currency 5 2 2 3 2 2 5" xfId="10168" xr:uid="{EBDAF350-452B-4EB5-B83A-4EABEEEC6D5E}"/>
    <cellStyle name="Currency 5 2 2 3 2 2 6" xfId="18615" xr:uid="{522A5A5E-DD09-48B0-8220-2B1EAB1B09D5}"/>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EACD00E6-DD1D-47CB-AAD3-69390A20FDF3}"/>
    <cellStyle name="Currency 5 2 2 3 2 3 2 2 3" xfId="25390" xr:uid="{3C795376-5F6B-4B63-A0DA-52440266D93C}"/>
    <cellStyle name="Currency 5 2 2 3 2 3 2 3" xfId="12726" xr:uid="{224818BC-5D58-4B68-AC0F-9A367A7FB33C}"/>
    <cellStyle name="Currency 5 2 2 3 2 3 2 4" xfId="21173" xr:uid="{7FD89990-1ECD-4A1C-9DA5-9D83ACE7C969}"/>
    <cellStyle name="Currency 5 2 2 3 2 3 3" xfId="5472" xr:uid="{00000000-0005-0000-0000-0000CF0B0000}"/>
    <cellStyle name="Currency 5 2 2 3 2 3 3 2" xfId="14798" xr:uid="{52D8A5AB-231D-42B1-BF7D-146A860C1F21}"/>
    <cellStyle name="Currency 5 2 2 3 2 3 3 3" xfId="23245" xr:uid="{78EAF049-B90E-4A94-A19F-B543A2CA84D8}"/>
    <cellStyle name="Currency 5 2 2 3 2 3 4" xfId="10581" xr:uid="{DDF8036C-BF24-4FC6-A196-77DFB02D7E21}"/>
    <cellStyle name="Currency 5 2 2 3 2 3 5" xfId="19028" xr:uid="{E60FA2A2-CBD3-42B5-9DD4-2C5821FEB5FF}"/>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6E6924D3-1D85-43A4-9EC3-CD5A6B93EE56}"/>
    <cellStyle name="Currency 5 2 2 3 2 4 2 2 3" xfId="25803" xr:uid="{FDD99D3E-4EB2-40D3-BF57-BC66D8CFCB15}"/>
    <cellStyle name="Currency 5 2 2 3 2 4 2 3" xfId="13139" xr:uid="{58B2DFC9-610B-4CF5-A59D-07CF25328D45}"/>
    <cellStyle name="Currency 5 2 2 3 2 4 2 4" xfId="21586" xr:uid="{2681AD70-D8B4-417C-89D0-4221A6C36B1E}"/>
    <cellStyle name="Currency 5 2 2 3 2 4 3" xfId="5885" xr:uid="{00000000-0005-0000-0000-0000D30B0000}"/>
    <cellStyle name="Currency 5 2 2 3 2 4 3 2" xfId="15211" xr:uid="{4669D253-9272-403A-A818-98E4253FFC04}"/>
    <cellStyle name="Currency 5 2 2 3 2 4 3 3" xfId="23658" xr:uid="{E07375A6-E5F2-4797-A520-E626D2197C26}"/>
    <cellStyle name="Currency 5 2 2 3 2 4 4" xfId="10994" xr:uid="{9A2C3D41-9AD7-44DB-97DB-130FF1783426}"/>
    <cellStyle name="Currency 5 2 2 3 2 4 5" xfId="19441" xr:uid="{3C9D4DBD-50E6-48AA-85A6-671A3409B80F}"/>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4B956645-2BFF-4D0E-990C-5D4671325B49}"/>
    <cellStyle name="Currency 5 2 2 3 2 5 2 2 3" xfId="26216" xr:uid="{ACF56926-F88E-441C-971D-B08914CC61F2}"/>
    <cellStyle name="Currency 5 2 2 3 2 5 2 3" xfId="13552" xr:uid="{AEC03CB1-4AD3-4D3B-A24E-0D211D2A0638}"/>
    <cellStyle name="Currency 5 2 2 3 2 5 2 4" xfId="21999" xr:uid="{210610A1-6E86-4D3F-AC69-2A065DE000DA}"/>
    <cellStyle name="Currency 5 2 2 3 2 5 3" xfId="6298" xr:uid="{00000000-0005-0000-0000-0000D70B0000}"/>
    <cellStyle name="Currency 5 2 2 3 2 5 3 2" xfId="15624" xr:uid="{75F1A96C-ABCE-4B78-A4D1-FBD18099CACE}"/>
    <cellStyle name="Currency 5 2 2 3 2 5 3 3" xfId="24071" xr:uid="{F26A2223-4C04-4FC3-B02C-3B780344D454}"/>
    <cellStyle name="Currency 5 2 2 3 2 5 4" xfId="11407" xr:uid="{C1DE1E76-337A-4904-B9F1-4C37B5EE0D9F}"/>
    <cellStyle name="Currency 5 2 2 3 2 5 5" xfId="19854" xr:uid="{E3C78D50-39CA-4879-8A57-39D599B8CDF5}"/>
    <cellStyle name="Currency 5 2 2 3 2 6" xfId="2427" xr:uid="{00000000-0005-0000-0000-0000D80B0000}"/>
    <cellStyle name="Currency 5 2 2 3 2 6 2" xfId="6711" xr:uid="{00000000-0005-0000-0000-0000D90B0000}"/>
    <cellStyle name="Currency 5 2 2 3 2 6 2 2" xfId="16037" xr:uid="{D827C5F4-FB5C-4E07-9DA6-B89D07CFEBB6}"/>
    <cellStyle name="Currency 5 2 2 3 2 6 2 3" xfId="24484" xr:uid="{CDFEF1C8-B4D5-4E7C-A3DB-9164ED467B98}"/>
    <cellStyle name="Currency 5 2 2 3 2 6 3" xfId="11820" xr:uid="{45711545-B7B7-4077-B03B-051CBCD0C2BA}"/>
    <cellStyle name="Currency 5 2 2 3 2 6 4" xfId="20267" xr:uid="{21F3D001-EC12-4AD7-AAA4-3A60D1C5FD65}"/>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F3CA704B-4EBE-4FC3-B95C-5B15A49E6299}"/>
    <cellStyle name="Currency 5 2 2 3 2 8 2 3" xfId="24801" xr:uid="{60EA384F-5F31-4CBD-A5DC-5EDA7D23A7B7}"/>
    <cellStyle name="Currency 5 2 2 3 2 8 3" xfId="12137" xr:uid="{A54CF158-0AAF-4390-B7C8-FA9EB2D8F574}"/>
    <cellStyle name="Currency 5 2 2 3 2 8 4" xfId="20584" xr:uid="{BB34647E-EEE6-4D5A-B89C-A4B2BFBD8944}"/>
    <cellStyle name="Currency 5 2 2 3 2 9" xfId="4645" xr:uid="{00000000-0005-0000-0000-0000DD0B0000}"/>
    <cellStyle name="Currency 5 2 2 3 2 9 2" xfId="13971" xr:uid="{97336F24-CA05-4F7F-A9EF-7CE74F96AA52}"/>
    <cellStyle name="Currency 5 2 2 3 2 9 3" xfId="22418" xr:uid="{FBF3E1E2-B7A5-45D6-9D8B-980E5BDDD556}"/>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6F9E0A2A-7359-4FC9-995C-A8B2E4D40ED3}"/>
    <cellStyle name="Currency 5 2 2 3 3 2 2 3" xfId="24976" xr:uid="{A52A6ADE-AF1B-4F94-BB83-19EDE6C93950}"/>
    <cellStyle name="Currency 5 2 2 3 3 2 3" xfId="12312" xr:uid="{78190C6E-077D-4305-94F5-34104970728A}"/>
    <cellStyle name="Currency 5 2 2 3 3 2 4" xfId="20759" xr:uid="{49995E70-D691-4B2D-8E81-40F7D649F9E9}"/>
    <cellStyle name="Currency 5 2 2 3 3 3" xfId="5058" xr:uid="{00000000-0005-0000-0000-0000E10B0000}"/>
    <cellStyle name="Currency 5 2 2 3 3 3 2" xfId="14384" xr:uid="{532AE6C8-AC72-4D70-9D24-30C6872DA177}"/>
    <cellStyle name="Currency 5 2 2 3 3 3 3" xfId="22831" xr:uid="{D317D0A9-B4EF-4C2C-805F-5505DCD7C207}"/>
    <cellStyle name="Currency 5 2 2 3 3 4" xfId="9315" xr:uid="{A76EC348-1CDB-41C1-B9B8-9215FF30C619}"/>
    <cellStyle name="Currency 5 2 2 3 3 5" xfId="10167" xr:uid="{D02E7BEF-3C4C-4075-9521-61B9092254FD}"/>
    <cellStyle name="Currency 5 2 2 3 3 6" xfId="18614" xr:uid="{39B22A5A-3A48-4B0A-AADF-2313FD07E0DA}"/>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8169CF24-C641-4406-8DC9-8559A6CCCC8E}"/>
    <cellStyle name="Currency 5 2 2 3 4 2 2 3" xfId="25389" xr:uid="{AC5E5A0E-2E8E-40B0-A25B-6C13DA00C1C2}"/>
    <cellStyle name="Currency 5 2 2 3 4 2 3" xfId="12725" xr:uid="{55C0F92F-9793-4A5E-8A4D-610FF7AFCCC5}"/>
    <cellStyle name="Currency 5 2 2 3 4 2 4" xfId="21172" xr:uid="{4AE10F8F-7363-45B5-9298-301A883E5A44}"/>
    <cellStyle name="Currency 5 2 2 3 4 3" xfId="5471" xr:uid="{00000000-0005-0000-0000-0000E50B0000}"/>
    <cellStyle name="Currency 5 2 2 3 4 3 2" xfId="14797" xr:uid="{DDB5166F-E1A3-4703-8B76-7839F6C208C7}"/>
    <cellStyle name="Currency 5 2 2 3 4 3 3" xfId="23244" xr:uid="{DF28E1FD-DA8B-4578-A074-D3AED6832753}"/>
    <cellStyle name="Currency 5 2 2 3 4 4" xfId="10580" xr:uid="{C7B7772B-FFBD-4FFC-8B63-36B1D49E5301}"/>
    <cellStyle name="Currency 5 2 2 3 4 5" xfId="19027" xr:uid="{D4C87D05-EB44-4303-B277-F86FCEC3349D}"/>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259A1019-F425-4DAE-8E81-BB2F5F2F091A}"/>
    <cellStyle name="Currency 5 2 2 3 5 2 2 3" xfId="25802" xr:uid="{03F89B22-0C7A-4B8E-9FEA-E9939E2D4EFD}"/>
    <cellStyle name="Currency 5 2 2 3 5 2 3" xfId="13138" xr:uid="{DE339EA2-8199-482E-8E64-6F15D2CF0B12}"/>
    <cellStyle name="Currency 5 2 2 3 5 2 4" xfId="21585" xr:uid="{819A1727-F537-4E5A-B9DC-CC75AF215B44}"/>
    <cellStyle name="Currency 5 2 2 3 5 3" xfId="5884" xr:uid="{00000000-0005-0000-0000-0000E90B0000}"/>
    <cellStyle name="Currency 5 2 2 3 5 3 2" xfId="15210" xr:uid="{4FB702C7-D905-4D14-8199-E44A31510B79}"/>
    <cellStyle name="Currency 5 2 2 3 5 3 3" xfId="23657" xr:uid="{0491B2CA-0ABA-40F8-A318-0DED1D8DB184}"/>
    <cellStyle name="Currency 5 2 2 3 5 4" xfId="10993" xr:uid="{B451BFE5-E602-4345-8675-0EDE834ACFDD}"/>
    <cellStyle name="Currency 5 2 2 3 5 5" xfId="19440" xr:uid="{D9A2F56E-81D1-41D4-BFD7-EE6F434424B7}"/>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ADA2E6DF-6757-4712-90F9-A5E85FB40433}"/>
    <cellStyle name="Currency 5 2 2 3 6 2 2 3" xfId="26215" xr:uid="{D33E08C2-2B44-497E-8483-2914643E251F}"/>
    <cellStyle name="Currency 5 2 2 3 6 2 3" xfId="13551" xr:uid="{1B8157E1-CF75-4911-862F-2DD9FB9031D7}"/>
    <cellStyle name="Currency 5 2 2 3 6 2 4" xfId="21998" xr:uid="{1293C8AF-5739-4EE3-AA59-FDBC24460EEE}"/>
    <cellStyle name="Currency 5 2 2 3 6 3" xfId="6297" xr:uid="{00000000-0005-0000-0000-0000ED0B0000}"/>
    <cellStyle name="Currency 5 2 2 3 6 3 2" xfId="15623" xr:uid="{9AE2BA7A-8F96-4EDB-ABDC-E12D874EE435}"/>
    <cellStyle name="Currency 5 2 2 3 6 3 3" xfId="24070" xr:uid="{B12D137C-D703-4B3B-8E34-F7474472F902}"/>
    <cellStyle name="Currency 5 2 2 3 6 4" xfId="11406" xr:uid="{145C4462-8394-4578-89C4-A8903400EEDC}"/>
    <cellStyle name="Currency 5 2 2 3 6 5" xfId="19853" xr:uid="{1D6FF46F-B236-4C28-A45B-459C129A8A88}"/>
    <cellStyle name="Currency 5 2 2 3 7" xfId="2426" xr:uid="{00000000-0005-0000-0000-0000EE0B0000}"/>
    <cellStyle name="Currency 5 2 2 3 7 2" xfId="6710" xr:uid="{00000000-0005-0000-0000-0000EF0B0000}"/>
    <cellStyle name="Currency 5 2 2 3 7 2 2" xfId="16036" xr:uid="{811E0A73-9028-4D8D-9B80-298203EAE7A6}"/>
    <cellStyle name="Currency 5 2 2 3 7 2 3" xfId="24483" xr:uid="{E24F9E84-AAC4-4BD0-88EA-FFE05EBECF05}"/>
    <cellStyle name="Currency 5 2 2 3 7 3" xfId="11819" xr:uid="{72671F65-59CA-4972-B34C-C54293405AF1}"/>
    <cellStyle name="Currency 5 2 2 3 7 4" xfId="20266" xr:uid="{AF134C5D-180B-4F37-A4EE-793AB48E6666}"/>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FEEDDCBD-09F6-470C-89C2-96EA802A99DA}"/>
    <cellStyle name="Currency 5 2 2 3 9 2 3" xfId="24800" xr:uid="{5581DE63-1A2E-4D88-A0EB-5467A2296954}"/>
    <cellStyle name="Currency 5 2 2 3 9 3" xfId="12136" xr:uid="{66354226-5DDF-4B69-A569-383A3CD8B632}"/>
    <cellStyle name="Currency 5 2 2 3 9 4" xfId="20583" xr:uid="{AE45E279-05FA-4FAD-A876-25E35D2606DE}"/>
    <cellStyle name="Currency 5 2 2 4" xfId="202" xr:uid="{00000000-0005-0000-0000-0000F30B0000}"/>
    <cellStyle name="Currency 5 2 2 4 10" xfId="8994" xr:uid="{484CCE7A-1288-4C7F-ABD6-C45948DC4EC0}"/>
    <cellStyle name="Currency 5 2 2 4 11" xfId="9755" xr:uid="{F8214BDA-CE64-4431-B1EC-7A130FFB9C46}"/>
    <cellStyle name="Currency 5 2 2 4 12" xfId="18202" xr:uid="{63357BF7-7A23-4493-8A28-B6F7D3B708E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58D99BE5-A481-4308-A8D8-25B98D1CCDDA}"/>
    <cellStyle name="Currency 5 2 2 4 2 2 2 3" xfId="24978" xr:uid="{DC8377EB-844D-4B19-BA5C-A43FD2010F6C}"/>
    <cellStyle name="Currency 5 2 2 4 2 2 3" xfId="12314" xr:uid="{98E78200-6A5D-4CFF-9BB2-481EAF84DED5}"/>
    <cellStyle name="Currency 5 2 2 4 2 2 4" xfId="20761" xr:uid="{8D3C708A-7F08-491E-B35D-ADA6BB437708}"/>
    <cellStyle name="Currency 5 2 2 4 2 3" xfId="5060" xr:uid="{00000000-0005-0000-0000-0000F70B0000}"/>
    <cellStyle name="Currency 5 2 2 4 2 3 2" xfId="14386" xr:uid="{9901271C-8B99-4669-B600-06F77954B716}"/>
    <cellStyle name="Currency 5 2 2 4 2 3 3" xfId="22833" xr:uid="{D6AA2B98-5408-4D0A-813C-23122D111A8A}"/>
    <cellStyle name="Currency 5 2 2 4 2 4" xfId="9419" xr:uid="{F03E4D2E-3BA9-4D5B-9C35-959DB128CBAE}"/>
    <cellStyle name="Currency 5 2 2 4 2 5" xfId="10169" xr:uid="{116467DE-51E5-49E0-A991-4A7C88B891C1}"/>
    <cellStyle name="Currency 5 2 2 4 2 6" xfId="18616" xr:uid="{3AA62605-4B89-417D-88EC-8AEE2E680FAB}"/>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9928937F-0779-4374-89AB-14A63EEC6696}"/>
    <cellStyle name="Currency 5 2 2 4 3 2 2 3" xfId="25391" xr:uid="{217A5D5C-73EF-4C37-BB31-780B180EC70E}"/>
    <cellStyle name="Currency 5 2 2 4 3 2 3" xfId="12727" xr:uid="{E3D7F07F-B106-45E3-8D79-B60875505E97}"/>
    <cellStyle name="Currency 5 2 2 4 3 2 4" xfId="21174" xr:uid="{BC663DCD-519D-4815-B520-C8400FE4B089}"/>
    <cellStyle name="Currency 5 2 2 4 3 3" xfId="5473" xr:uid="{00000000-0005-0000-0000-0000FB0B0000}"/>
    <cellStyle name="Currency 5 2 2 4 3 3 2" xfId="14799" xr:uid="{4AF4C274-8AC7-4C00-B1CC-1C9AC9624EE9}"/>
    <cellStyle name="Currency 5 2 2 4 3 3 3" xfId="23246" xr:uid="{94B55FEA-5FED-4C87-BD48-933328C31043}"/>
    <cellStyle name="Currency 5 2 2 4 3 4" xfId="10582" xr:uid="{882E81BF-02ED-4323-8448-C632AB8E32F5}"/>
    <cellStyle name="Currency 5 2 2 4 3 5" xfId="19029" xr:uid="{D4E46509-963C-4AF0-9995-09482C956DF7}"/>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0F671478-CB88-4F6E-BA0D-A9D308E15463}"/>
    <cellStyle name="Currency 5 2 2 4 4 2 2 3" xfId="25804" xr:uid="{6FEA3998-1D82-41B5-B0F4-266322FAD115}"/>
    <cellStyle name="Currency 5 2 2 4 4 2 3" xfId="13140" xr:uid="{86E3584B-088D-49F6-BC1F-61060B6A45B0}"/>
    <cellStyle name="Currency 5 2 2 4 4 2 4" xfId="21587" xr:uid="{A2E7F636-DDAE-4EE6-A319-A42E92E1DDF2}"/>
    <cellStyle name="Currency 5 2 2 4 4 3" xfId="5886" xr:uid="{00000000-0005-0000-0000-0000FF0B0000}"/>
    <cellStyle name="Currency 5 2 2 4 4 3 2" xfId="15212" xr:uid="{B1DB76F5-7495-4BA9-9C1A-EB275DCD5AB8}"/>
    <cellStyle name="Currency 5 2 2 4 4 3 3" xfId="23659" xr:uid="{3FEF91BA-C957-49A7-92DC-2146C47558BF}"/>
    <cellStyle name="Currency 5 2 2 4 4 4" xfId="10995" xr:uid="{217A9556-991E-4C8D-B826-5638C9B98C9E}"/>
    <cellStyle name="Currency 5 2 2 4 4 5" xfId="19442" xr:uid="{84793C94-43C7-4BE8-8E29-E64BDD2FFC81}"/>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D87D1AA8-E845-441B-B51B-D30B50F22082}"/>
    <cellStyle name="Currency 5 2 2 4 5 2 2 3" xfId="26217" xr:uid="{E8B4C76D-D9B9-4C7C-A603-020FB0782555}"/>
    <cellStyle name="Currency 5 2 2 4 5 2 3" xfId="13553" xr:uid="{BFDF6179-08E3-455B-87AF-B5D7FB83086D}"/>
    <cellStyle name="Currency 5 2 2 4 5 2 4" xfId="22000" xr:uid="{9C404144-DAA7-4010-B5A1-BDE28A7ED808}"/>
    <cellStyle name="Currency 5 2 2 4 5 3" xfId="6299" xr:uid="{00000000-0005-0000-0000-0000030C0000}"/>
    <cellStyle name="Currency 5 2 2 4 5 3 2" xfId="15625" xr:uid="{9B2C5D06-DB44-451B-9BAC-3B06CA1468A8}"/>
    <cellStyle name="Currency 5 2 2 4 5 3 3" xfId="24072" xr:uid="{27FD077A-4EBB-4AFC-A61F-13874C3EC8BA}"/>
    <cellStyle name="Currency 5 2 2 4 5 4" xfId="11408" xr:uid="{6497E686-EA33-43D2-8D8C-C85D15607AF0}"/>
    <cellStyle name="Currency 5 2 2 4 5 5" xfId="19855" xr:uid="{90257851-892C-4F6A-87D6-81D231131519}"/>
    <cellStyle name="Currency 5 2 2 4 6" xfId="2428" xr:uid="{00000000-0005-0000-0000-0000040C0000}"/>
    <cellStyle name="Currency 5 2 2 4 6 2" xfId="6712" xr:uid="{00000000-0005-0000-0000-0000050C0000}"/>
    <cellStyle name="Currency 5 2 2 4 6 2 2" xfId="16038" xr:uid="{1F4B0996-2EC8-4CBB-91EF-D8BD427B86CE}"/>
    <cellStyle name="Currency 5 2 2 4 6 2 3" xfId="24485" xr:uid="{D153614D-F403-44FE-8720-1304F8E139F1}"/>
    <cellStyle name="Currency 5 2 2 4 6 3" xfId="11821" xr:uid="{6C1890A4-7051-40C2-A5D2-54CE13530B28}"/>
    <cellStyle name="Currency 5 2 2 4 6 4" xfId="20268" xr:uid="{614FDF71-941A-4D48-A58E-63E51422079C}"/>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276370E5-B1F3-4418-B98B-A80D1CFE1B7F}"/>
    <cellStyle name="Currency 5 2 2 4 8 2 3" xfId="24802" xr:uid="{E226D260-580F-4217-A21D-62609033AABA}"/>
    <cellStyle name="Currency 5 2 2 4 8 3" xfId="12138" xr:uid="{837FA6B8-3A3A-48F4-A0F9-CC23881EBC11}"/>
    <cellStyle name="Currency 5 2 2 4 8 4" xfId="20585" xr:uid="{33C648BC-E05E-4D72-850C-C76CAD1E534E}"/>
    <cellStyle name="Currency 5 2 2 4 9" xfId="4646" xr:uid="{00000000-0005-0000-0000-0000090C0000}"/>
    <cellStyle name="Currency 5 2 2 4 9 2" xfId="13972" xr:uid="{84331E70-8CF0-441F-99C6-959BF4F37B8E}"/>
    <cellStyle name="Currency 5 2 2 4 9 3" xfId="22419" xr:uid="{22CD66F7-43F1-48F9-BC26-A188751AB792}"/>
    <cellStyle name="Currency 5 2 2 5" xfId="203" xr:uid="{00000000-0005-0000-0000-00000A0C0000}"/>
    <cellStyle name="Currency 5 2 2 5 10" xfId="9211" xr:uid="{586E1D8D-A72F-44A2-BAB5-A0BAD4827F6D}"/>
    <cellStyle name="Currency 5 2 2 5 11" xfId="9756" xr:uid="{F37C07D3-4484-4CAC-B463-A638B6531763}"/>
    <cellStyle name="Currency 5 2 2 5 12" xfId="18203" xr:uid="{18BEDD2D-8598-4F4E-869A-7227E87A814A}"/>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EA48FBB5-18CF-46F4-ABC3-41553479EAE6}"/>
    <cellStyle name="Currency 5 2 2 5 2 2 2 3" xfId="24979" xr:uid="{0BB5FC20-4989-48AC-BC75-0AC3357FB5F7}"/>
    <cellStyle name="Currency 5 2 2 5 2 2 3" xfId="12315" xr:uid="{9E11561C-97D5-4DF3-9A24-FF1EAADF2EE4}"/>
    <cellStyle name="Currency 5 2 2 5 2 2 4" xfId="20762" xr:uid="{89FF0493-5C23-4799-907C-F273BFD560D6}"/>
    <cellStyle name="Currency 5 2 2 5 2 3" xfId="5061" xr:uid="{00000000-0005-0000-0000-00000E0C0000}"/>
    <cellStyle name="Currency 5 2 2 5 2 3 2" xfId="14387" xr:uid="{B0C64B35-4EC3-4D9A-8532-C5B52A58E16E}"/>
    <cellStyle name="Currency 5 2 2 5 2 3 3" xfId="22834" xr:uid="{6E4B83CB-6E53-4F00-95E6-32F79F27F53F}"/>
    <cellStyle name="Currency 5 2 2 5 2 4" xfId="9598" xr:uid="{EBD3270B-608E-49E1-8A20-C5ADF81FBC1B}"/>
    <cellStyle name="Currency 5 2 2 5 2 5" xfId="10170" xr:uid="{8BEBC3B0-EBE9-468E-A8E4-BFF869642356}"/>
    <cellStyle name="Currency 5 2 2 5 2 6" xfId="18617" xr:uid="{C037578E-52C3-40EB-96E3-129A9CC0EDC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CFA4F99E-EBCF-42A6-BC90-F45D1664F678}"/>
    <cellStyle name="Currency 5 2 2 5 3 2 2 3" xfId="25392" xr:uid="{D397CA44-CC69-4600-8DE0-52CD95F4C8CA}"/>
    <cellStyle name="Currency 5 2 2 5 3 2 3" xfId="12728" xr:uid="{AA185A7C-A509-4A6B-870A-26A7A556FEFF}"/>
    <cellStyle name="Currency 5 2 2 5 3 2 4" xfId="21175" xr:uid="{D27EF988-A2C1-4914-A369-4C6DFB7BD653}"/>
    <cellStyle name="Currency 5 2 2 5 3 3" xfId="5474" xr:uid="{00000000-0005-0000-0000-0000120C0000}"/>
    <cellStyle name="Currency 5 2 2 5 3 3 2" xfId="14800" xr:uid="{682AD027-2A9C-4A9E-A6B7-3CB203AD5A0F}"/>
    <cellStyle name="Currency 5 2 2 5 3 3 3" xfId="23247" xr:uid="{6A3ED087-4ACF-4DCC-8280-01F4872E9230}"/>
    <cellStyle name="Currency 5 2 2 5 3 4" xfId="10583" xr:uid="{CE0FB3C5-D24B-4A73-AF71-6212847992D9}"/>
    <cellStyle name="Currency 5 2 2 5 3 5" xfId="19030" xr:uid="{07C6FDF2-BDD4-4519-B1EE-EE90C7742581}"/>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20181926-A4E7-4E6D-8376-807956CBD2CD}"/>
    <cellStyle name="Currency 5 2 2 5 4 2 2 3" xfId="25805" xr:uid="{8BC61619-FB43-46EA-93CD-D66937927E61}"/>
    <cellStyle name="Currency 5 2 2 5 4 2 3" xfId="13141" xr:uid="{914C3B67-E416-4FDE-95D8-D6C1FF29C989}"/>
    <cellStyle name="Currency 5 2 2 5 4 2 4" xfId="21588" xr:uid="{17DADEC3-BB01-4749-B826-E485904C44C1}"/>
    <cellStyle name="Currency 5 2 2 5 4 3" xfId="5887" xr:uid="{00000000-0005-0000-0000-0000160C0000}"/>
    <cellStyle name="Currency 5 2 2 5 4 3 2" xfId="15213" xr:uid="{7572C441-CC55-4854-A428-7EAC07AC2A8E}"/>
    <cellStyle name="Currency 5 2 2 5 4 3 3" xfId="23660" xr:uid="{EF6C777F-11B9-4EB2-AEEF-DDF695DC5738}"/>
    <cellStyle name="Currency 5 2 2 5 4 4" xfId="10996" xr:uid="{B93BD891-315F-4421-ABC2-1C96C4E19168}"/>
    <cellStyle name="Currency 5 2 2 5 4 5" xfId="19443" xr:uid="{081D1FDE-6BC9-42D5-9A26-9C28DB052BA1}"/>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F25314CC-1903-47A9-9A17-D8FF63B68F66}"/>
    <cellStyle name="Currency 5 2 2 5 5 2 2 3" xfId="26218" xr:uid="{AB3C90AD-5535-4C11-B317-E874E3D7D0EA}"/>
    <cellStyle name="Currency 5 2 2 5 5 2 3" xfId="13554" xr:uid="{02AD1090-657D-46E4-88A3-34C923F170B6}"/>
    <cellStyle name="Currency 5 2 2 5 5 2 4" xfId="22001" xr:uid="{773DF73E-2C3D-45BF-842A-A5F080BC3DD6}"/>
    <cellStyle name="Currency 5 2 2 5 5 3" xfId="6300" xr:uid="{00000000-0005-0000-0000-00001A0C0000}"/>
    <cellStyle name="Currency 5 2 2 5 5 3 2" xfId="15626" xr:uid="{56F96FF1-735A-4508-B77E-FB01E653AADA}"/>
    <cellStyle name="Currency 5 2 2 5 5 3 3" xfId="24073" xr:uid="{D81BF205-E8AE-451D-9F40-340046A9F4A0}"/>
    <cellStyle name="Currency 5 2 2 5 5 4" xfId="11409" xr:uid="{0CACBAE3-200F-4F74-A491-CDA5F519989A}"/>
    <cellStyle name="Currency 5 2 2 5 5 5" xfId="19856" xr:uid="{1F85D40A-B819-4DD9-AB28-ED8402ABE6A6}"/>
    <cellStyle name="Currency 5 2 2 5 6" xfId="2429" xr:uid="{00000000-0005-0000-0000-00001B0C0000}"/>
    <cellStyle name="Currency 5 2 2 5 6 2" xfId="6713" xr:uid="{00000000-0005-0000-0000-00001C0C0000}"/>
    <cellStyle name="Currency 5 2 2 5 6 2 2" xfId="16039" xr:uid="{96BCE8E9-CA9D-4EA8-B6FC-354BDC68244E}"/>
    <cellStyle name="Currency 5 2 2 5 6 2 3" xfId="24486" xr:uid="{BC813228-3662-47B0-85F1-0E38DD743BF3}"/>
    <cellStyle name="Currency 5 2 2 5 6 3" xfId="11822" xr:uid="{5A9B8480-4B25-4DFC-BBE2-B62DEB4E33FB}"/>
    <cellStyle name="Currency 5 2 2 5 6 4" xfId="20269" xr:uid="{A63C71B7-BE7A-4601-895A-26B76E602691}"/>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E4486B4E-ADBA-45D6-A126-ADBB109E9732}"/>
    <cellStyle name="Currency 5 2 2 5 8 2 3" xfId="24803" xr:uid="{ADD86558-867B-4332-8899-88D7470E200A}"/>
    <cellStyle name="Currency 5 2 2 5 8 3" xfId="12139" xr:uid="{97A74E2E-1D98-429A-8399-E8DDF77CA751}"/>
    <cellStyle name="Currency 5 2 2 5 8 4" xfId="20586" xr:uid="{0B129DD3-BE84-4557-A79B-816FCAAA6871}"/>
    <cellStyle name="Currency 5 2 2 5 9" xfId="4647" xr:uid="{00000000-0005-0000-0000-0000200C0000}"/>
    <cellStyle name="Currency 5 2 2 5 9 2" xfId="13973" xr:uid="{59EF75B2-39BB-4CCA-A9FB-FFCF4B252277}"/>
    <cellStyle name="Currency 5 2 2 5 9 3" xfId="22420" xr:uid="{E78F0857-27E6-4916-AA63-236796411B91}"/>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EF83B02E-2376-49CC-8CF7-61F78FDEDB35}"/>
    <cellStyle name="Currency 5 2 4 10 3" xfId="22421" xr:uid="{278B55D8-6B15-4379-A387-2E639E2B0A25}"/>
    <cellStyle name="Currency 5 2 4 11" xfId="8859" xr:uid="{D3A5F8AD-5F4E-4BEA-A9B4-9A705A015524}"/>
    <cellStyle name="Currency 5 2 4 12" xfId="9757" xr:uid="{14B052D9-A694-471F-BCE2-EBA804B82FC9}"/>
    <cellStyle name="Currency 5 2 4 13" xfId="18204" xr:uid="{C326C955-9666-4D08-AB24-538B10EF1E9A}"/>
    <cellStyle name="Currency 5 2 4 2" xfId="206" xr:uid="{00000000-0005-0000-0000-0000250C0000}"/>
    <cellStyle name="Currency 5 2 4 2 10" xfId="9066" xr:uid="{2F7A28AF-2120-4AAF-A58B-33C2E07F597D}"/>
    <cellStyle name="Currency 5 2 4 2 11" xfId="9758" xr:uid="{DDD98C58-131A-4269-B3D6-A5A32975D6FD}"/>
    <cellStyle name="Currency 5 2 4 2 12" xfId="18205" xr:uid="{2AF2A375-3850-40FB-BC7B-98AA29DCBE11}"/>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8862D75C-3AB5-49B4-9A9B-3CE177169B13}"/>
    <cellStyle name="Currency 5 2 4 2 2 2 2 3" xfId="24981" xr:uid="{F90134C6-FC6A-4761-BAE6-8D21C7BFC8F8}"/>
    <cellStyle name="Currency 5 2 4 2 2 2 3" xfId="12317" xr:uid="{7BEE7822-BBEC-45C6-97D8-2747139029A1}"/>
    <cellStyle name="Currency 5 2 4 2 2 2 4" xfId="20764" xr:uid="{C7F7FF1F-56DB-4B96-B0C2-8852306C4F51}"/>
    <cellStyle name="Currency 5 2 4 2 2 3" xfId="5063" xr:uid="{00000000-0005-0000-0000-0000290C0000}"/>
    <cellStyle name="Currency 5 2 4 2 2 3 2" xfId="14389" xr:uid="{25F76BB4-8D0F-4D9F-81C1-0611C6473498}"/>
    <cellStyle name="Currency 5 2 4 2 2 3 3" xfId="22836" xr:uid="{D61FF22D-6C8E-44B6-BFA9-01B1FEFC23B0}"/>
    <cellStyle name="Currency 5 2 4 2 2 4" xfId="9491" xr:uid="{64B868C7-9024-4970-9E74-7DF82417BD7A}"/>
    <cellStyle name="Currency 5 2 4 2 2 5" xfId="10172" xr:uid="{E37673BB-27A4-40FC-A292-7727CBE91E96}"/>
    <cellStyle name="Currency 5 2 4 2 2 6" xfId="18619" xr:uid="{415EF291-1062-47B4-B7E9-23EBED2E6827}"/>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4E572B50-262B-45DF-B098-C6A33233DD41}"/>
    <cellStyle name="Currency 5 2 4 2 3 2 2 3" xfId="25394" xr:uid="{B8AB8609-C6B7-4712-BBBF-010E00CB3A52}"/>
    <cellStyle name="Currency 5 2 4 2 3 2 3" xfId="12730" xr:uid="{C09EC9E1-F26E-4A19-BE18-B20B5B529B7B}"/>
    <cellStyle name="Currency 5 2 4 2 3 2 4" xfId="21177" xr:uid="{E215D95B-8318-4470-80D5-0A1FCAB0D589}"/>
    <cellStyle name="Currency 5 2 4 2 3 3" xfId="5476" xr:uid="{00000000-0005-0000-0000-00002D0C0000}"/>
    <cellStyle name="Currency 5 2 4 2 3 3 2" xfId="14802" xr:uid="{5CAAD141-354A-4163-A80D-1D34C144B94B}"/>
    <cellStyle name="Currency 5 2 4 2 3 3 3" xfId="23249" xr:uid="{59A48A02-9099-4C9E-B02C-5CBAE874CD25}"/>
    <cellStyle name="Currency 5 2 4 2 3 4" xfId="10585" xr:uid="{79660431-F606-46AD-9010-266C7DCDE307}"/>
    <cellStyle name="Currency 5 2 4 2 3 5" xfId="19032" xr:uid="{E3B08098-5514-4BFF-9482-8E697A474575}"/>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6AF8968A-BF5C-4E08-9904-3C812BA872A8}"/>
    <cellStyle name="Currency 5 2 4 2 4 2 2 3" xfId="25807" xr:uid="{7550A81B-DE17-4329-BECB-B31F685F0079}"/>
    <cellStyle name="Currency 5 2 4 2 4 2 3" xfId="13143" xr:uid="{7DBB5FC7-9C1E-420A-BBFC-FC434C4E4C61}"/>
    <cellStyle name="Currency 5 2 4 2 4 2 4" xfId="21590" xr:uid="{EAD5D4F9-FEFE-4ECE-840E-A354E00DB967}"/>
    <cellStyle name="Currency 5 2 4 2 4 3" xfId="5889" xr:uid="{00000000-0005-0000-0000-0000310C0000}"/>
    <cellStyle name="Currency 5 2 4 2 4 3 2" xfId="15215" xr:uid="{2AD7FE7C-3C74-4ED6-A395-6B4BA6BE7F0F}"/>
    <cellStyle name="Currency 5 2 4 2 4 3 3" xfId="23662" xr:uid="{FB21818D-3CA6-4FF5-9A30-474AA3E831C3}"/>
    <cellStyle name="Currency 5 2 4 2 4 4" xfId="10998" xr:uid="{28CE182C-8BE3-4407-A648-78A243AB85EA}"/>
    <cellStyle name="Currency 5 2 4 2 4 5" xfId="19445" xr:uid="{AAE96B61-E249-4ECF-B212-F45902B9638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93EB9EFF-789D-48C2-A646-00CAE71221CE}"/>
    <cellStyle name="Currency 5 2 4 2 5 2 2 3" xfId="26220" xr:uid="{AF759B59-E863-4EFA-9B44-FC8F23493355}"/>
    <cellStyle name="Currency 5 2 4 2 5 2 3" xfId="13556" xr:uid="{C5EE9C7F-DEF6-4AFA-96D1-82E666B3F616}"/>
    <cellStyle name="Currency 5 2 4 2 5 2 4" xfId="22003" xr:uid="{56A64B3E-A4B8-47C1-B6A2-46C11E6393BC}"/>
    <cellStyle name="Currency 5 2 4 2 5 3" xfId="6302" xr:uid="{00000000-0005-0000-0000-0000350C0000}"/>
    <cellStyle name="Currency 5 2 4 2 5 3 2" xfId="15628" xr:uid="{DA5D3AE2-FEB3-4821-8A8F-D8A239AB2870}"/>
    <cellStyle name="Currency 5 2 4 2 5 3 3" xfId="24075" xr:uid="{FDA032F0-EB53-453E-ADAE-C9472D194E25}"/>
    <cellStyle name="Currency 5 2 4 2 5 4" xfId="11411" xr:uid="{7E5574D2-58F9-4E63-BA84-68246F5781FE}"/>
    <cellStyle name="Currency 5 2 4 2 5 5" xfId="19858" xr:uid="{44539DBB-9A70-49CC-9945-A93360CD7A84}"/>
    <cellStyle name="Currency 5 2 4 2 6" xfId="2431" xr:uid="{00000000-0005-0000-0000-0000360C0000}"/>
    <cellStyle name="Currency 5 2 4 2 6 2" xfId="6715" xr:uid="{00000000-0005-0000-0000-0000370C0000}"/>
    <cellStyle name="Currency 5 2 4 2 6 2 2" xfId="16041" xr:uid="{7FF99503-C682-43AC-8280-DE4E975D4B14}"/>
    <cellStyle name="Currency 5 2 4 2 6 2 3" xfId="24488" xr:uid="{02E5F197-9B10-47B4-8731-EF4E75A680E2}"/>
    <cellStyle name="Currency 5 2 4 2 6 3" xfId="11824" xr:uid="{AEE5EA23-08AE-4951-B64B-1317A1077145}"/>
    <cellStyle name="Currency 5 2 4 2 6 4" xfId="20271" xr:uid="{EEE9DCCC-3B91-42C4-B34D-9F901DADB832}"/>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C1E6CB38-B3CF-4569-8A68-886E4C303927}"/>
    <cellStyle name="Currency 5 2 4 2 8 2 3" xfId="24805" xr:uid="{FEDB8A7D-197D-4A12-895F-0884C4BC0402}"/>
    <cellStyle name="Currency 5 2 4 2 8 3" xfId="12141" xr:uid="{110C26A7-EDD5-42E7-A657-49FD35FB9F63}"/>
    <cellStyle name="Currency 5 2 4 2 8 4" xfId="20588" xr:uid="{3A7F25E1-4826-41A9-BD2B-2B67D5A43AA2}"/>
    <cellStyle name="Currency 5 2 4 2 9" xfId="4649" xr:uid="{00000000-0005-0000-0000-00003B0C0000}"/>
    <cellStyle name="Currency 5 2 4 2 9 2" xfId="13975" xr:uid="{9C720935-9AC3-49FD-8227-1BEB90450449}"/>
    <cellStyle name="Currency 5 2 4 2 9 3" xfId="22422" xr:uid="{16CB982F-5898-4405-B6E9-5755FC72E09E}"/>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2887EDA8-00CD-4175-B28C-6A2D9C3B1801}"/>
    <cellStyle name="Currency 5 2 4 3 2 2 3" xfId="24980" xr:uid="{DCE22F1E-B768-45F6-97F1-21304B2ACF16}"/>
    <cellStyle name="Currency 5 2 4 3 2 3" xfId="12316" xr:uid="{D403C706-D2D7-4CD7-99AD-C84F0AE1E6DB}"/>
    <cellStyle name="Currency 5 2 4 3 2 4" xfId="20763" xr:uid="{078ECDAF-5742-4678-AD64-744FE601F20C}"/>
    <cellStyle name="Currency 5 2 4 3 3" xfId="5062" xr:uid="{00000000-0005-0000-0000-00003F0C0000}"/>
    <cellStyle name="Currency 5 2 4 3 3 2" xfId="14388" xr:uid="{DA2A3F32-4658-4F44-8D8D-438104759753}"/>
    <cellStyle name="Currency 5 2 4 3 3 3" xfId="22835" xr:uid="{95FDB0D5-451B-4793-B4D2-8FF6E9A35269}"/>
    <cellStyle name="Currency 5 2 4 3 4" xfId="9284" xr:uid="{1D0B72AC-AFAC-428F-8BF0-6DFF9565613D}"/>
    <cellStyle name="Currency 5 2 4 3 5" xfId="10171" xr:uid="{434D8A08-64A8-4BAA-B73C-F7404F2B67AC}"/>
    <cellStyle name="Currency 5 2 4 3 6" xfId="18618" xr:uid="{C3BA6484-F37A-4406-8273-36796CE4804C}"/>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42E90249-62C6-4454-9AA3-D208ED07E81B}"/>
    <cellStyle name="Currency 5 2 4 4 2 2 3" xfId="25393" xr:uid="{A35CE418-FD4D-40E0-95E6-8A044FBADAEA}"/>
    <cellStyle name="Currency 5 2 4 4 2 3" xfId="12729" xr:uid="{DCC97963-18A9-4F70-B771-7A659F41E1FC}"/>
    <cellStyle name="Currency 5 2 4 4 2 4" xfId="21176" xr:uid="{D7875F12-D62F-4225-9545-2B8DFCF19EBA}"/>
    <cellStyle name="Currency 5 2 4 4 3" xfId="5475" xr:uid="{00000000-0005-0000-0000-0000430C0000}"/>
    <cellStyle name="Currency 5 2 4 4 3 2" xfId="14801" xr:uid="{A6137510-FF73-473F-A6FF-22454B15F7DC}"/>
    <cellStyle name="Currency 5 2 4 4 3 3" xfId="23248" xr:uid="{5E17A9DA-F613-47BE-9E58-257FEA37066F}"/>
    <cellStyle name="Currency 5 2 4 4 4" xfId="10584" xr:uid="{45CCA947-19AE-4F0E-8232-92D8D845E9C9}"/>
    <cellStyle name="Currency 5 2 4 4 5" xfId="19031" xr:uid="{9B254EA0-0491-438F-9CE9-724B8272304F}"/>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2C7CC59E-09EC-45B4-9507-81316322A14C}"/>
    <cellStyle name="Currency 5 2 4 5 2 2 3" xfId="25806" xr:uid="{84957D91-D5B5-4C7F-AAA2-070174C3A516}"/>
    <cellStyle name="Currency 5 2 4 5 2 3" xfId="13142" xr:uid="{8FCE6E20-0688-4889-AE7E-9A7DD1765FE8}"/>
    <cellStyle name="Currency 5 2 4 5 2 4" xfId="21589" xr:uid="{2B7CF35A-B411-464B-8580-A4217BF55A3D}"/>
    <cellStyle name="Currency 5 2 4 5 3" xfId="5888" xr:uid="{00000000-0005-0000-0000-0000470C0000}"/>
    <cellStyle name="Currency 5 2 4 5 3 2" xfId="15214" xr:uid="{84C0E6DD-482D-4B0C-B4A1-127F88155914}"/>
    <cellStyle name="Currency 5 2 4 5 3 3" xfId="23661" xr:uid="{E0ADF2F0-3EE6-47D6-B99B-EBF98991DB16}"/>
    <cellStyle name="Currency 5 2 4 5 4" xfId="10997" xr:uid="{428BE044-3C02-42B7-AA52-0E97A9D745B8}"/>
    <cellStyle name="Currency 5 2 4 5 5" xfId="19444" xr:uid="{A9EAF243-98A4-4A66-BFB2-88D8E377B0C6}"/>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DE4E2CD1-A84A-4026-86B8-7311CF6A5B6A}"/>
    <cellStyle name="Currency 5 2 4 6 2 2 3" xfId="26219" xr:uid="{2AE0902A-60F5-4E98-8126-5C3E43D82744}"/>
    <cellStyle name="Currency 5 2 4 6 2 3" xfId="13555" xr:uid="{D1882C6B-E1E5-4185-BB8D-6F3825E67207}"/>
    <cellStyle name="Currency 5 2 4 6 2 4" xfId="22002" xr:uid="{592715B6-99FB-4A6F-A4E9-BF4AD19BC687}"/>
    <cellStyle name="Currency 5 2 4 6 3" xfId="6301" xr:uid="{00000000-0005-0000-0000-00004B0C0000}"/>
    <cellStyle name="Currency 5 2 4 6 3 2" xfId="15627" xr:uid="{DFFE68FB-447A-477A-9D60-4173373D3324}"/>
    <cellStyle name="Currency 5 2 4 6 3 3" xfId="24074" xr:uid="{54351BB1-9BE4-4C8B-99B9-FD15F6CD9350}"/>
    <cellStyle name="Currency 5 2 4 6 4" xfId="11410" xr:uid="{ECBB35FD-8E1F-4EE2-B3B5-9944453B9E32}"/>
    <cellStyle name="Currency 5 2 4 6 5" xfId="19857" xr:uid="{39B47031-BD40-47D8-84FE-B311E7DF62BE}"/>
    <cellStyle name="Currency 5 2 4 7" xfId="2430" xr:uid="{00000000-0005-0000-0000-00004C0C0000}"/>
    <cellStyle name="Currency 5 2 4 7 2" xfId="6714" xr:uid="{00000000-0005-0000-0000-00004D0C0000}"/>
    <cellStyle name="Currency 5 2 4 7 2 2" xfId="16040" xr:uid="{7376D1A0-D68D-46BF-8730-F34789E79F67}"/>
    <cellStyle name="Currency 5 2 4 7 2 3" xfId="24487" xr:uid="{61C22EF2-9207-44D9-9984-83A10628BBD6}"/>
    <cellStyle name="Currency 5 2 4 7 3" xfId="11823" xr:uid="{7DD5C733-1027-4CA9-BCE0-02A4A7700017}"/>
    <cellStyle name="Currency 5 2 4 7 4" xfId="20270" xr:uid="{F49574BA-FC2D-4126-8984-518561211109}"/>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5BB021FF-9CC8-4A48-9BCF-7B74F1599D53}"/>
    <cellStyle name="Currency 5 2 4 9 2 3" xfId="24804" xr:uid="{27224061-2F63-4DA9-A9EF-929C4EEB94CA}"/>
    <cellStyle name="Currency 5 2 4 9 3" xfId="12140" xr:uid="{B6FB7FBC-6541-4088-9DBE-9188FE77F7E4}"/>
    <cellStyle name="Currency 5 2 4 9 4" xfId="20587" xr:uid="{6D6DD3A7-67F4-4B8D-9958-18AB8E72FF4B}"/>
    <cellStyle name="Currency 5 2 5" xfId="207" xr:uid="{00000000-0005-0000-0000-0000510C0000}"/>
    <cellStyle name="Currency 5 2 5 10" xfId="8975" xr:uid="{3422EC31-C47F-46E0-A50C-FE05B1979387}"/>
    <cellStyle name="Currency 5 2 5 11" xfId="9759" xr:uid="{7BF1DED4-403D-449E-B32A-C81C8D1623E2}"/>
    <cellStyle name="Currency 5 2 5 12" xfId="18206" xr:uid="{E1CD9DF8-B1B2-464E-ACD2-59F5D5FFC23C}"/>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96B91483-8F26-4E5B-B305-DA6B8238DC8E}"/>
    <cellStyle name="Currency 5 2 5 2 2 2 3" xfId="24982" xr:uid="{19EF5ED3-0EB0-4127-A9C3-400CAEBE154A}"/>
    <cellStyle name="Currency 5 2 5 2 2 3" xfId="12318" xr:uid="{D0F19628-50C3-4FB9-A7D2-CC374C73D3FB}"/>
    <cellStyle name="Currency 5 2 5 2 2 4" xfId="20765" xr:uid="{4F93E8C1-8023-4606-A10B-5C6F6FB605B3}"/>
    <cellStyle name="Currency 5 2 5 2 3" xfId="5064" xr:uid="{00000000-0005-0000-0000-0000550C0000}"/>
    <cellStyle name="Currency 5 2 5 2 3 2" xfId="14390" xr:uid="{FE366A0C-BCF0-4C04-AB92-1D935C609154}"/>
    <cellStyle name="Currency 5 2 5 2 3 3" xfId="22837" xr:uid="{EE670602-1800-4D50-ACAF-8CF8EF3B2B6C}"/>
    <cellStyle name="Currency 5 2 5 2 4" xfId="9400" xr:uid="{6620DDCD-05C0-4AFD-8A83-F1190101CCB3}"/>
    <cellStyle name="Currency 5 2 5 2 5" xfId="10173" xr:uid="{4A829BC8-8631-4352-A2B6-6A948A966288}"/>
    <cellStyle name="Currency 5 2 5 2 6" xfId="18620" xr:uid="{D034ACBF-D94E-494A-AA28-B2AC0A788E49}"/>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35826EEC-0D86-4366-9BF4-851034DC2A85}"/>
    <cellStyle name="Currency 5 2 5 3 2 2 3" xfId="25395" xr:uid="{4ADFD5BF-FC61-444A-A66E-201882C110AA}"/>
    <cellStyle name="Currency 5 2 5 3 2 3" xfId="12731" xr:uid="{732D55CB-5FAF-4EE5-91C1-937C0504DF19}"/>
    <cellStyle name="Currency 5 2 5 3 2 4" xfId="21178" xr:uid="{E77AC33C-E5AC-43F4-8196-1F13B8147F25}"/>
    <cellStyle name="Currency 5 2 5 3 3" xfId="5477" xr:uid="{00000000-0005-0000-0000-0000590C0000}"/>
    <cellStyle name="Currency 5 2 5 3 3 2" xfId="14803" xr:uid="{2A7DD227-3802-41AB-94F7-535804C2B680}"/>
    <cellStyle name="Currency 5 2 5 3 3 3" xfId="23250" xr:uid="{BD1963AF-B21E-4C42-9A00-D9E28013CBC8}"/>
    <cellStyle name="Currency 5 2 5 3 4" xfId="10586" xr:uid="{697FD60F-D18F-4024-97C8-01442A17A7EC}"/>
    <cellStyle name="Currency 5 2 5 3 5" xfId="19033" xr:uid="{51EBC8DF-BF08-4351-A56B-82B102C608A4}"/>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D8C0ECA0-007B-4BD4-8F1D-E7D35681E04D}"/>
    <cellStyle name="Currency 5 2 5 4 2 2 3" xfId="25808" xr:uid="{7AC0397D-6332-4EB5-8E1A-EBDC3C7550E3}"/>
    <cellStyle name="Currency 5 2 5 4 2 3" xfId="13144" xr:uid="{BD27D3B7-67C5-446D-9B0B-A559E70D9629}"/>
    <cellStyle name="Currency 5 2 5 4 2 4" xfId="21591" xr:uid="{A622E51E-F1FC-4033-AD68-310EFF22AE76}"/>
    <cellStyle name="Currency 5 2 5 4 3" xfId="5890" xr:uid="{00000000-0005-0000-0000-00005D0C0000}"/>
    <cellStyle name="Currency 5 2 5 4 3 2" xfId="15216" xr:uid="{4AE5CF8F-D1B4-4043-B60F-EE10178C8442}"/>
    <cellStyle name="Currency 5 2 5 4 3 3" xfId="23663" xr:uid="{B8664684-D4E3-4DBE-9CB2-72CAE5C81E97}"/>
    <cellStyle name="Currency 5 2 5 4 4" xfId="10999" xr:uid="{2AC98DD3-EDA2-46DE-A5FD-659A96C8E7BD}"/>
    <cellStyle name="Currency 5 2 5 4 5" xfId="19446" xr:uid="{CDE50E68-8B8D-48DE-9F23-7702A9A021AA}"/>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65592477-7583-48D7-AAF3-232884EAFA4A}"/>
    <cellStyle name="Currency 5 2 5 5 2 2 3" xfId="26221" xr:uid="{164F4894-91F9-4532-BA91-033E98B5E271}"/>
    <cellStyle name="Currency 5 2 5 5 2 3" xfId="13557" xr:uid="{2051329B-BAAF-4BE6-8568-DA4CF2E206F7}"/>
    <cellStyle name="Currency 5 2 5 5 2 4" xfId="22004" xr:uid="{31FA397A-1E88-456A-8941-850195CF5E3B}"/>
    <cellStyle name="Currency 5 2 5 5 3" xfId="6303" xr:uid="{00000000-0005-0000-0000-0000610C0000}"/>
    <cellStyle name="Currency 5 2 5 5 3 2" xfId="15629" xr:uid="{ED4C528D-3F71-4F3A-AEFF-37BEF3168B3D}"/>
    <cellStyle name="Currency 5 2 5 5 3 3" xfId="24076" xr:uid="{9E0FFA70-D760-4A97-A673-8B423EB1E73D}"/>
    <cellStyle name="Currency 5 2 5 5 4" xfId="11412" xr:uid="{1FA38269-3742-41A3-B710-BA43CA938A64}"/>
    <cellStyle name="Currency 5 2 5 5 5" xfId="19859" xr:uid="{C8DCC2D9-D734-4C65-BCB3-4CAA783DD148}"/>
    <cellStyle name="Currency 5 2 5 6" xfId="2432" xr:uid="{00000000-0005-0000-0000-0000620C0000}"/>
    <cellStyle name="Currency 5 2 5 6 2" xfId="6716" xr:uid="{00000000-0005-0000-0000-0000630C0000}"/>
    <cellStyle name="Currency 5 2 5 6 2 2" xfId="16042" xr:uid="{5BD6C7DA-445E-4571-BA1B-BFBE356F3B6D}"/>
    <cellStyle name="Currency 5 2 5 6 2 3" xfId="24489" xr:uid="{0136ED8E-BED8-422E-BB7C-F67EB7F45623}"/>
    <cellStyle name="Currency 5 2 5 6 3" xfId="11825" xr:uid="{E48B9D35-40EE-4389-8653-26D48D5A0B47}"/>
    <cellStyle name="Currency 5 2 5 6 4" xfId="20272" xr:uid="{FB2D7CDB-1839-4EB0-8EBA-1C4B6078925F}"/>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2C944B7F-358F-4657-BEAD-8D9C07796E1F}"/>
    <cellStyle name="Currency 5 2 5 8 2 3" xfId="24806" xr:uid="{5ECD711E-2AAC-432D-A0D2-289883FAF7D8}"/>
    <cellStyle name="Currency 5 2 5 8 3" xfId="12142" xr:uid="{31F645DD-46C5-4E13-A3C2-1B867885FCE7}"/>
    <cellStyle name="Currency 5 2 5 8 4" xfId="20589" xr:uid="{3C82CE75-3ED1-4884-A3B5-A3527C38946F}"/>
    <cellStyle name="Currency 5 2 5 9" xfId="4650" xr:uid="{00000000-0005-0000-0000-0000670C0000}"/>
    <cellStyle name="Currency 5 2 5 9 2" xfId="13976" xr:uid="{7BDFD05B-3888-45DB-BD2D-307F7DEA40D0}"/>
    <cellStyle name="Currency 5 2 5 9 3" xfId="22423" xr:uid="{0D45F8EC-BFA8-4132-98C9-4F1DAD1FC353}"/>
    <cellStyle name="Currency 5 2 6" xfId="208" xr:uid="{00000000-0005-0000-0000-0000680C0000}"/>
    <cellStyle name="Currency 5 2 6 10" xfId="9178" xr:uid="{19F6D70E-88E4-4E39-A1A9-3FF3D840E2F9}"/>
    <cellStyle name="Currency 5 2 6 11" xfId="9760" xr:uid="{9FC780AC-B4F4-4D1B-BC00-C8C8C0962E66}"/>
    <cellStyle name="Currency 5 2 6 12" xfId="18207" xr:uid="{16D1BA0A-C3DF-415C-BB99-ECE38649141A}"/>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C51B2A92-506A-42D1-8E8A-622682717398}"/>
    <cellStyle name="Currency 5 2 6 2 2 2 3" xfId="24983" xr:uid="{006FCCE2-3FB4-4455-A1B0-C3ABC462B7A5}"/>
    <cellStyle name="Currency 5 2 6 2 2 3" xfId="12319" xr:uid="{3DAE8315-66FB-4EE4-9593-A7556FAF8FED}"/>
    <cellStyle name="Currency 5 2 6 2 2 4" xfId="20766" xr:uid="{C25A4C7B-B444-4AA1-BCAF-1396D35107CA}"/>
    <cellStyle name="Currency 5 2 6 2 3" xfId="5065" xr:uid="{00000000-0005-0000-0000-00006C0C0000}"/>
    <cellStyle name="Currency 5 2 6 2 3 2" xfId="14391" xr:uid="{2B60507F-EE06-4CEA-B39D-C325C24D8DA9}"/>
    <cellStyle name="Currency 5 2 6 2 3 3" xfId="22838" xr:uid="{4E42A903-9AB4-42E5-9984-A11A1386153D}"/>
    <cellStyle name="Currency 5 2 6 2 4" xfId="9599" xr:uid="{C2EE182C-D73D-4E6C-9671-0484CB4E8D68}"/>
    <cellStyle name="Currency 5 2 6 2 5" xfId="10174" xr:uid="{515FE9F1-9BEB-421B-8AB1-20405C8AB7FB}"/>
    <cellStyle name="Currency 5 2 6 2 6" xfId="18621" xr:uid="{F09BE023-DBA8-4993-8C71-5F80A5B034AE}"/>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5129741B-5BEE-48E9-9D74-FED71ED145C1}"/>
    <cellStyle name="Currency 5 2 6 3 2 2 3" xfId="25396" xr:uid="{3C4200F3-1AD7-46F6-8A28-E2894587B280}"/>
    <cellStyle name="Currency 5 2 6 3 2 3" xfId="12732" xr:uid="{9D65CC32-8407-4485-8559-70E8D4DDA98B}"/>
    <cellStyle name="Currency 5 2 6 3 2 4" xfId="21179" xr:uid="{89794271-B519-4B95-8855-044FA22B86C9}"/>
    <cellStyle name="Currency 5 2 6 3 3" xfId="5478" xr:uid="{00000000-0005-0000-0000-0000700C0000}"/>
    <cellStyle name="Currency 5 2 6 3 3 2" xfId="14804" xr:uid="{518187EB-1EFE-4916-A4A6-13D086E24024}"/>
    <cellStyle name="Currency 5 2 6 3 3 3" xfId="23251" xr:uid="{9294224B-7A28-426C-9416-853709C09622}"/>
    <cellStyle name="Currency 5 2 6 3 4" xfId="10587" xr:uid="{11BDDEBB-3EDD-4DAA-830F-8C7877593C67}"/>
    <cellStyle name="Currency 5 2 6 3 5" xfId="19034" xr:uid="{EDB1346F-84FA-469A-8FEF-E380A418036A}"/>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33CF7337-86BB-4E56-AD35-4768F59A812B}"/>
    <cellStyle name="Currency 5 2 6 4 2 2 3" xfId="25809" xr:uid="{BC7AEED3-5B38-4947-8EC4-BCDD722404D4}"/>
    <cellStyle name="Currency 5 2 6 4 2 3" xfId="13145" xr:uid="{46E617FC-E20A-4C74-8F04-4B7F622057A5}"/>
    <cellStyle name="Currency 5 2 6 4 2 4" xfId="21592" xr:uid="{9E2E980A-9F9A-4D89-96DB-0E78649CEF75}"/>
    <cellStyle name="Currency 5 2 6 4 3" xfId="5891" xr:uid="{00000000-0005-0000-0000-0000740C0000}"/>
    <cellStyle name="Currency 5 2 6 4 3 2" xfId="15217" xr:uid="{C416A8D3-6E01-44A3-BB41-46BA9847E5CA}"/>
    <cellStyle name="Currency 5 2 6 4 3 3" xfId="23664" xr:uid="{EFCCBC65-8B61-40AC-BE40-65C886C690D1}"/>
    <cellStyle name="Currency 5 2 6 4 4" xfId="11000" xr:uid="{C7853F03-EC73-4EE7-9712-E963722C98CC}"/>
    <cellStyle name="Currency 5 2 6 4 5" xfId="19447" xr:uid="{04FA3994-2B7F-442F-94EB-8D3EFB20F22C}"/>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0A21B5F4-21A2-4702-88C0-E6ABFC66B3D8}"/>
    <cellStyle name="Currency 5 2 6 5 2 2 3" xfId="26222" xr:uid="{1ED32547-9A5C-44C4-B052-BE2AE3FBD486}"/>
    <cellStyle name="Currency 5 2 6 5 2 3" xfId="13558" xr:uid="{F0325841-79C6-4795-A319-EF499415AB7B}"/>
    <cellStyle name="Currency 5 2 6 5 2 4" xfId="22005" xr:uid="{24AC48B9-E637-49ED-A987-4174CAD393F9}"/>
    <cellStyle name="Currency 5 2 6 5 3" xfId="6304" xr:uid="{00000000-0005-0000-0000-0000780C0000}"/>
    <cellStyle name="Currency 5 2 6 5 3 2" xfId="15630" xr:uid="{305F7A8C-864B-4B24-A2E9-70B6DD0DE990}"/>
    <cellStyle name="Currency 5 2 6 5 3 3" xfId="24077" xr:uid="{5A0C3FD5-69DC-49FF-A83E-55C1838A56D1}"/>
    <cellStyle name="Currency 5 2 6 5 4" xfId="11413" xr:uid="{DD493467-6533-499E-B39E-7A931BBE34A1}"/>
    <cellStyle name="Currency 5 2 6 5 5" xfId="19860" xr:uid="{218D2765-C723-45FF-AF8E-2EF1491BF7AB}"/>
    <cellStyle name="Currency 5 2 6 6" xfId="2433" xr:uid="{00000000-0005-0000-0000-0000790C0000}"/>
    <cellStyle name="Currency 5 2 6 6 2" xfId="6717" xr:uid="{00000000-0005-0000-0000-00007A0C0000}"/>
    <cellStyle name="Currency 5 2 6 6 2 2" xfId="16043" xr:uid="{FA5C1D45-498A-460D-8EAB-69B01EA98823}"/>
    <cellStyle name="Currency 5 2 6 6 2 3" xfId="24490" xr:uid="{CEEF5423-D361-49BC-A394-B9AFD943535B}"/>
    <cellStyle name="Currency 5 2 6 6 3" xfId="11826" xr:uid="{D1ABB2F5-4C48-473A-B535-7946F2BCC38D}"/>
    <cellStyle name="Currency 5 2 6 6 4" xfId="20273" xr:uid="{85F9C868-4FC7-4265-8720-3EFCFCD88D4C}"/>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517B14BA-5051-4B5F-BF0F-E302F94E8AFB}"/>
    <cellStyle name="Currency 5 2 6 8 2 3" xfId="24807" xr:uid="{406F8A12-5ED3-478E-B658-3B6CC23790A4}"/>
    <cellStyle name="Currency 5 2 6 8 3" xfId="12143" xr:uid="{B5A7644E-3326-4AE2-A5D3-9B55DB536B52}"/>
    <cellStyle name="Currency 5 2 6 8 4" xfId="20590" xr:uid="{07FA1621-384B-42FD-93C6-9EA838C96905}"/>
    <cellStyle name="Currency 5 2 6 9" xfId="4651" xr:uid="{00000000-0005-0000-0000-00007E0C0000}"/>
    <cellStyle name="Currency 5 2 6 9 2" xfId="13977" xr:uid="{6B5E5261-0598-4361-A62A-107AD8A1028A}"/>
    <cellStyle name="Currency 5 2 6 9 3" xfId="22424" xr:uid="{C5335601-BD8A-4613-9D85-6305A38054E1}"/>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63E626EA-27F5-424A-BFAA-FF130782643D}"/>
    <cellStyle name="Currency 5 3 2 10 2 3" xfId="24808" xr:uid="{5935E6EC-E531-4E26-A185-2CEFFE59709F}"/>
    <cellStyle name="Currency 5 3 2 10 3" xfId="12144" xr:uid="{858A1FD5-1915-4275-9C40-9B147569D8F9}"/>
    <cellStyle name="Currency 5 3 2 10 4" xfId="20591" xr:uid="{824691B2-8E58-4F88-9875-43C580E70397}"/>
    <cellStyle name="Currency 5 3 2 11" xfId="4652" xr:uid="{00000000-0005-0000-0000-0000840C0000}"/>
    <cellStyle name="Currency 5 3 2 11 2" xfId="13978" xr:uid="{062EE930-10E0-4C2E-B055-5C415CEA1D09}"/>
    <cellStyle name="Currency 5 3 2 11 3" xfId="22425" xr:uid="{75E193BB-84C3-44E1-8CD9-200E07BD2D6E}"/>
    <cellStyle name="Currency 5 3 2 12" xfId="8810" xr:uid="{C5234FF9-D509-4CD8-ADA1-D3604CCF3D1F}"/>
    <cellStyle name="Currency 5 3 2 13" xfId="9761" xr:uid="{7E9B8554-0D14-42B6-BE26-A53003B39AB1}"/>
    <cellStyle name="Currency 5 3 2 14" xfId="18208" xr:uid="{AD0E353C-1439-446A-854A-4D7E6A9410F4}"/>
    <cellStyle name="Currency 5 3 2 2" xfId="211" xr:uid="{00000000-0005-0000-0000-0000850C0000}"/>
    <cellStyle name="Currency 5 3 2 2 10" xfId="4653" xr:uid="{00000000-0005-0000-0000-0000860C0000}"/>
    <cellStyle name="Currency 5 3 2 2 10 2" xfId="13979" xr:uid="{E1914223-DAFB-4B8D-B2D5-6CC13C5CEFC1}"/>
    <cellStyle name="Currency 5 3 2 2 10 3" xfId="22426" xr:uid="{76E89C63-55B6-40D0-B3D8-61D40EF276BA}"/>
    <cellStyle name="Currency 5 3 2 2 11" xfId="8913" xr:uid="{FE033F82-2F16-4925-9899-F927AB9AA612}"/>
    <cellStyle name="Currency 5 3 2 2 12" xfId="9762" xr:uid="{2BF447E3-EFD8-4DC5-8999-54DB1A4587C6}"/>
    <cellStyle name="Currency 5 3 2 2 13" xfId="18209" xr:uid="{AEE5DEDB-27F8-4AA2-954D-FCD9D5213326}"/>
    <cellStyle name="Currency 5 3 2 2 2" xfId="212" xr:uid="{00000000-0005-0000-0000-0000870C0000}"/>
    <cellStyle name="Currency 5 3 2 2 2 10" xfId="9120" xr:uid="{D5536A1F-8418-4CB5-B1E0-470AD716374A}"/>
    <cellStyle name="Currency 5 3 2 2 2 11" xfId="9763" xr:uid="{D4A2E3D3-6254-47D5-9F62-F7E428F08565}"/>
    <cellStyle name="Currency 5 3 2 2 2 12" xfId="18210" xr:uid="{21BF4BFC-571B-4AB8-99BA-65AD0C660D2B}"/>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D45D4EF2-BA9C-41F1-96E3-B7606A1A323D}"/>
    <cellStyle name="Currency 5 3 2 2 2 2 2 2 3" xfId="24986" xr:uid="{69E84EF3-7E71-4E86-B45A-B776A5312318}"/>
    <cellStyle name="Currency 5 3 2 2 2 2 2 3" xfId="12322" xr:uid="{FC7F15E6-C93D-4F61-8130-1EBB5A3019A3}"/>
    <cellStyle name="Currency 5 3 2 2 2 2 2 4" xfId="20769" xr:uid="{3E793580-AB53-44C3-A9BE-0144A8699F43}"/>
    <cellStyle name="Currency 5 3 2 2 2 2 3" xfId="5068" xr:uid="{00000000-0005-0000-0000-00008B0C0000}"/>
    <cellStyle name="Currency 5 3 2 2 2 2 3 2" xfId="14394" xr:uid="{774F85D7-45C8-427A-BB9A-AFA7AAE83655}"/>
    <cellStyle name="Currency 5 3 2 2 2 2 3 3" xfId="22841" xr:uid="{46757665-4342-4E76-A0E6-05ADE0993602}"/>
    <cellStyle name="Currency 5 3 2 2 2 2 4" xfId="9545" xr:uid="{F6C268D6-0334-42F7-AE4F-535ADD09B625}"/>
    <cellStyle name="Currency 5 3 2 2 2 2 5" xfId="10177" xr:uid="{266904A2-1DF8-4D67-B23C-435FB804DC5C}"/>
    <cellStyle name="Currency 5 3 2 2 2 2 6" xfId="18624" xr:uid="{13BA3633-2BB4-4F70-A6A6-2EEDE2540D5D}"/>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3D276287-94A1-4D0B-A455-27E42AD0DAD2}"/>
    <cellStyle name="Currency 5 3 2 2 2 3 2 2 3" xfId="25399" xr:uid="{E013E678-DA2A-4307-AA4A-95D166420D8F}"/>
    <cellStyle name="Currency 5 3 2 2 2 3 2 3" xfId="12735" xr:uid="{954DE25C-24CD-419A-BDCA-DEBFCD85980E}"/>
    <cellStyle name="Currency 5 3 2 2 2 3 2 4" xfId="21182" xr:uid="{E0EEFC47-B78A-4DDB-B69C-507071B5C9B8}"/>
    <cellStyle name="Currency 5 3 2 2 2 3 3" xfId="5481" xr:uid="{00000000-0005-0000-0000-00008F0C0000}"/>
    <cellStyle name="Currency 5 3 2 2 2 3 3 2" xfId="14807" xr:uid="{1145F0CB-0BBF-4068-B4E9-B70BD724AF52}"/>
    <cellStyle name="Currency 5 3 2 2 2 3 3 3" xfId="23254" xr:uid="{DF7BE45F-E74E-43FA-B1DF-7BE2D08F0D04}"/>
    <cellStyle name="Currency 5 3 2 2 2 3 4" xfId="10590" xr:uid="{6C2AC40F-007E-4142-91C6-4E1B83AF9030}"/>
    <cellStyle name="Currency 5 3 2 2 2 3 5" xfId="19037" xr:uid="{8E4406CB-648D-4547-A780-21D7C9A891F2}"/>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34F51AEE-97BD-4CC0-8EB0-57A93C515FCA}"/>
    <cellStyle name="Currency 5 3 2 2 2 4 2 2 3" xfId="25812" xr:uid="{E48A14E5-2E15-4DA9-86DD-A201874AC3DF}"/>
    <cellStyle name="Currency 5 3 2 2 2 4 2 3" xfId="13148" xr:uid="{D795A47B-88F5-49A9-89FA-C23CF4415EE3}"/>
    <cellStyle name="Currency 5 3 2 2 2 4 2 4" xfId="21595" xr:uid="{3B247C42-F1F7-4458-A5D7-CB80BAA78127}"/>
    <cellStyle name="Currency 5 3 2 2 2 4 3" xfId="5894" xr:uid="{00000000-0005-0000-0000-0000930C0000}"/>
    <cellStyle name="Currency 5 3 2 2 2 4 3 2" xfId="15220" xr:uid="{860F15E5-B50F-40F7-8C9D-535D9E72A537}"/>
    <cellStyle name="Currency 5 3 2 2 2 4 3 3" xfId="23667" xr:uid="{9C121608-FD88-434B-9F14-05902048ADA8}"/>
    <cellStyle name="Currency 5 3 2 2 2 4 4" xfId="11003" xr:uid="{A548E6A4-003B-441B-BF5C-DEF6071676D0}"/>
    <cellStyle name="Currency 5 3 2 2 2 4 5" xfId="19450" xr:uid="{C3232EC8-5127-4A0E-B80F-93B130C33A09}"/>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FA4A6624-553C-4E4A-9399-57C0BF05029F}"/>
    <cellStyle name="Currency 5 3 2 2 2 5 2 2 3" xfId="26225" xr:uid="{92FC633F-F120-4C34-8831-4BF467472E4D}"/>
    <cellStyle name="Currency 5 3 2 2 2 5 2 3" xfId="13561" xr:uid="{AB88B7EB-2ED8-46EA-9BAA-E8E93873EB52}"/>
    <cellStyle name="Currency 5 3 2 2 2 5 2 4" xfId="22008" xr:uid="{B71F0C2B-1255-4D00-A0D8-3E0A840A0CCB}"/>
    <cellStyle name="Currency 5 3 2 2 2 5 3" xfId="6307" xr:uid="{00000000-0005-0000-0000-0000970C0000}"/>
    <cellStyle name="Currency 5 3 2 2 2 5 3 2" xfId="15633" xr:uid="{B5249A41-099C-4927-BFDA-7CD5DED35010}"/>
    <cellStyle name="Currency 5 3 2 2 2 5 3 3" xfId="24080" xr:uid="{89760747-A4CE-4833-B133-54B8E3A1DB04}"/>
    <cellStyle name="Currency 5 3 2 2 2 5 4" xfId="11416" xr:uid="{04FBD72A-8015-48C1-96C6-3A4719718F0D}"/>
    <cellStyle name="Currency 5 3 2 2 2 5 5" xfId="19863" xr:uid="{9380E834-E4EE-4D50-84BE-B8D0014E81D7}"/>
    <cellStyle name="Currency 5 3 2 2 2 6" xfId="2436" xr:uid="{00000000-0005-0000-0000-0000980C0000}"/>
    <cellStyle name="Currency 5 3 2 2 2 6 2" xfId="6720" xr:uid="{00000000-0005-0000-0000-0000990C0000}"/>
    <cellStyle name="Currency 5 3 2 2 2 6 2 2" xfId="16046" xr:uid="{C78CB980-046F-4B48-9B96-17C8D49F23EF}"/>
    <cellStyle name="Currency 5 3 2 2 2 6 2 3" xfId="24493" xr:uid="{D83C79A6-5FDF-4410-9B37-F4B088A1F67F}"/>
    <cellStyle name="Currency 5 3 2 2 2 6 3" xfId="11829" xr:uid="{EA039B0A-8777-468B-A4DF-1ED814580D35}"/>
    <cellStyle name="Currency 5 3 2 2 2 6 4" xfId="20276" xr:uid="{8D1E116D-2370-4528-8B20-6CF19D30E47B}"/>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B8C73ECA-D090-46A9-8E05-7BFDAD5AC7C9}"/>
    <cellStyle name="Currency 5 3 2 2 2 8 2 3" xfId="24810" xr:uid="{97157DAB-9E00-4CFC-AA21-3DFD12B17B97}"/>
    <cellStyle name="Currency 5 3 2 2 2 8 3" xfId="12146" xr:uid="{679FE883-4D88-4FBD-BF43-8097C429E515}"/>
    <cellStyle name="Currency 5 3 2 2 2 8 4" xfId="20593" xr:uid="{E4DB1BBA-AEBB-4D42-B098-37F67F0AE794}"/>
    <cellStyle name="Currency 5 3 2 2 2 9" xfId="4654" xr:uid="{00000000-0005-0000-0000-00009D0C0000}"/>
    <cellStyle name="Currency 5 3 2 2 2 9 2" xfId="13980" xr:uid="{F131430F-880F-4FF1-9B51-03F0779F0AC0}"/>
    <cellStyle name="Currency 5 3 2 2 2 9 3" xfId="22427" xr:uid="{830DA597-3F73-4B58-91E0-72A7FBBAB5D2}"/>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CA09A6C4-17A4-4D3B-B40A-B2A0A90D18A2}"/>
    <cellStyle name="Currency 5 3 2 2 3 2 2 3" xfId="24985" xr:uid="{368DFED0-EF48-4A0A-96E1-E368BAD0A646}"/>
    <cellStyle name="Currency 5 3 2 2 3 2 3" xfId="12321" xr:uid="{7AEB2143-75D6-4A07-8FD7-0C28CB725E6A}"/>
    <cellStyle name="Currency 5 3 2 2 3 2 4" xfId="20768" xr:uid="{183AE5CF-3228-4117-A99E-A1B774E43530}"/>
    <cellStyle name="Currency 5 3 2 2 3 3" xfId="5067" xr:uid="{00000000-0005-0000-0000-0000A10C0000}"/>
    <cellStyle name="Currency 5 3 2 2 3 3 2" xfId="14393" xr:uid="{AFAE0882-5E95-48E2-BCB3-D46DED88A582}"/>
    <cellStyle name="Currency 5 3 2 2 3 3 3" xfId="22840" xr:uid="{AC0DB458-B848-4C8F-B9E6-0244DC06FF9D}"/>
    <cellStyle name="Currency 5 3 2 2 3 4" xfId="9338" xr:uid="{E79296CA-9516-4DDA-84B2-A3B13AAA9D9D}"/>
    <cellStyle name="Currency 5 3 2 2 3 5" xfId="10176" xr:uid="{8329906D-2168-470E-9B6D-E594008BCDA1}"/>
    <cellStyle name="Currency 5 3 2 2 3 6" xfId="18623" xr:uid="{A0E5C779-3682-48CD-A074-6171B2B4DCAC}"/>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8AB5EB50-C859-4FEE-B7E2-50A93413414E}"/>
    <cellStyle name="Currency 5 3 2 2 4 2 2 3" xfId="25398" xr:uid="{9C258B41-019B-487E-A95B-AD490072F148}"/>
    <cellStyle name="Currency 5 3 2 2 4 2 3" xfId="12734" xr:uid="{05225385-8AD4-4B52-82E1-B10A27162656}"/>
    <cellStyle name="Currency 5 3 2 2 4 2 4" xfId="21181" xr:uid="{AF542526-11CB-4E81-B3A2-9A5C14996E46}"/>
    <cellStyle name="Currency 5 3 2 2 4 3" xfId="5480" xr:uid="{00000000-0005-0000-0000-0000A50C0000}"/>
    <cellStyle name="Currency 5 3 2 2 4 3 2" xfId="14806" xr:uid="{5A389631-67AB-4610-A931-47537D3485DA}"/>
    <cellStyle name="Currency 5 3 2 2 4 3 3" xfId="23253" xr:uid="{E76D196C-8DA9-4254-824C-7C9B26B50B5B}"/>
    <cellStyle name="Currency 5 3 2 2 4 4" xfId="10589" xr:uid="{C0FD616F-BFE0-431A-BC70-658DDDF058DD}"/>
    <cellStyle name="Currency 5 3 2 2 4 5" xfId="19036" xr:uid="{C3F9F5E2-2ECE-4663-84A9-3F82DC7BF292}"/>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4C623F37-FCAB-47BA-B5DD-48991172385A}"/>
    <cellStyle name="Currency 5 3 2 2 5 2 2 3" xfId="25811" xr:uid="{5AA65670-9D1C-4629-A7C9-DA34D0E2CB58}"/>
    <cellStyle name="Currency 5 3 2 2 5 2 3" xfId="13147" xr:uid="{77341C1C-7F22-41B5-9458-36D9AC243EE7}"/>
    <cellStyle name="Currency 5 3 2 2 5 2 4" xfId="21594" xr:uid="{B4B8946E-81AC-4700-A076-622D4025A933}"/>
    <cellStyle name="Currency 5 3 2 2 5 3" xfId="5893" xr:uid="{00000000-0005-0000-0000-0000A90C0000}"/>
    <cellStyle name="Currency 5 3 2 2 5 3 2" xfId="15219" xr:uid="{A7EF5639-DBFD-4414-990F-423EFFD5622A}"/>
    <cellStyle name="Currency 5 3 2 2 5 3 3" xfId="23666" xr:uid="{BFD8D235-FE86-4D74-BD09-D6C122E07265}"/>
    <cellStyle name="Currency 5 3 2 2 5 4" xfId="11002" xr:uid="{0F99AA4D-A92E-432A-9040-47F0BD1848C3}"/>
    <cellStyle name="Currency 5 3 2 2 5 5" xfId="19449" xr:uid="{5E5D6174-02DF-4EAD-A55D-5E02752C5C4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1561A81C-E6EF-4CB4-8D27-F900EA4B51ED}"/>
    <cellStyle name="Currency 5 3 2 2 6 2 2 3" xfId="26224" xr:uid="{A854D179-CFB4-4214-B124-4DD6F5F77031}"/>
    <cellStyle name="Currency 5 3 2 2 6 2 3" xfId="13560" xr:uid="{DA1B4FA2-A11C-4E0B-B591-95D01E366D55}"/>
    <cellStyle name="Currency 5 3 2 2 6 2 4" xfId="22007" xr:uid="{476E495E-61B3-4F03-8010-A16566D49323}"/>
    <cellStyle name="Currency 5 3 2 2 6 3" xfId="6306" xr:uid="{00000000-0005-0000-0000-0000AD0C0000}"/>
    <cellStyle name="Currency 5 3 2 2 6 3 2" xfId="15632" xr:uid="{24043C1A-B558-4FC1-9FD4-0B5C6058E49C}"/>
    <cellStyle name="Currency 5 3 2 2 6 3 3" xfId="24079" xr:uid="{DDCF5C34-D15B-47A3-8F3E-336B967EFA2A}"/>
    <cellStyle name="Currency 5 3 2 2 6 4" xfId="11415" xr:uid="{250FA2F4-BEE5-47C3-8E1F-EA59616D16F4}"/>
    <cellStyle name="Currency 5 3 2 2 6 5" xfId="19862" xr:uid="{EF114A25-17DD-4268-941C-A08CDAD712C7}"/>
    <cellStyle name="Currency 5 3 2 2 7" xfId="2435" xr:uid="{00000000-0005-0000-0000-0000AE0C0000}"/>
    <cellStyle name="Currency 5 3 2 2 7 2" xfId="6719" xr:uid="{00000000-0005-0000-0000-0000AF0C0000}"/>
    <cellStyle name="Currency 5 3 2 2 7 2 2" xfId="16045" xr:uid="{3DE1C861-88CD-46EA-ACDB-391D4F727A02}"/>
    <cellStyle name="Currency 5 3 2 2 7 2 3" xfId="24492" xr:uid="{D612FF84-A34E-4363-A4DE-55686727E690}"/>
    <cellStyle name="Currency 5 3 2 2 7 3" xfId="11828" xr:uid="{CFE735FF-2B3A-4FF7-B674-7CDBA0B94242}"/>
    <cellStyle name="Currency 5 3 2 2 7 4" xfId="20275" xr:uid="{B759040F-78FD-40D6-BF23-CEF948892287}"/>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932C1F18-A571-4257-8A95-8333D08A2717}"/>
    <cellStyle name="Currency 5 3 2 2 9 2 3" xfId="24809" xr:uid="{95E9BD7A-8BCB-41E4-B796-613CFA17B8EA}"/>
    <cellStyle name="Currency 5 3 2 2 9 3" xfId="12145" xr:uid="{7A05273F-4B92-4E0D-A2B6-B235A5F9F25F}"/>
    <cellStyle name="Currency 5 3 2 2 9 4" xfId="20592" xr:uid="{54FBE5B3-66BC-4810-9A7A-74335CECDABB}"/>
    <cellStyle name="Currency 5 3 2 3" xfId="213" xr:uid="{00000000-0005-0000-0000-0000B30C0000}"/>
    <cellStyle name="Currency 5 3 2 3 10" xfId="9017" xr:uid="{A6213F8D-EE09-4095-B9BE-99C55DEE210F}"/>
    <cellStyle name="Currency 5 3 2 3 11" xfId="9764" xr:uid="{39BB50A1-FBED-4A66-8216-31E38B14F9DA}"/>
    <cellStyle name="Currency 5 3 2 3 12" xfId="18211" xr:uid="{7E06F22C-7AE4-4CCD-9B46-FF90FDE395C6}"/>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DFC955BA-D026-4EFF-824B-12FF56C57D5B}"/>
    <cellStyle name="Currency 5 3 2 3 2 2 2 3" xfId="24987" xr:uid="{1D91661C-7B09-49F9-9B89-E1BDB587A0DE}"/>
    <cellStyle name="Currency 5 3 2 3 2 2 3" xfId="12323" xr:uid="{FD9022AF-5B3B-4894-B4B4-24E028886002}"/>
    <cellStyle name="Currency 5 3 2 3 2 2 4" xfId="20770" xr:uid="{858B429A-B7C8-4829-9FCE-D7EFA8DE2468}"/>
    <cellStyle name="Currency 5 3 2 3 2 3" xfId="5069" xr:uid="{00000000-0005-0000-0000-0000B70C0000}"/>
    <cellStyle name="Currency 5 3 2 3 2 3 2" xfId="14395" xr:uid="{71198C0C-A16D-45E0-A8C4-526FEEE39096}"/>
    <cellStyle name="Currency 5 3 2 3 2 3 3" xfId="22842" xr:uid="{FB3EF726-7C56-4A0C-95BD-7BA59D97BC6C}"/>
    <cellStyle name="Currency 5 3 2 3 2 4" xfId="9442" xr:uid="{AE48BD1F-B5DA-4007-BBEE-128FE2FE74D7}"/>
    <cellStyle name="Currency 5 3 2 3 2 5" xfId="10178" xr:uid="{1875531E-5DF6-4E36-B308-ACBC2AD87976}"/>
    <cellStyle name="Currency 5 3 2 3 2 6" xfId="18625" xr:uid="{E84BACD9-27B6-4647-9F38-BCC5A8A9316B}"/>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E4BA29EB-53F2-4FC1-BC3D-F77CBEACF56C}"/>
    <cellStyle name="Currency 5 3 2 3 3 2 2 3" xfId="25400" xr:uid="{1E07B9BE-7252-4493-B7E1-7C235EE14158}"/>
    <cellStyle name="Currency 5 3 2 3 3 2 3" xfId="12736" xr:uid="{15ADEC2A-6CB2-4E75-B698-B1F7733EC0E2}"/>
    <cellStyle name="Currency 5 3 2 3 3 2 4" xfId="21183" xr:uid="{3D9F137F-0705-41D2-ACC5-EDAB744B50BD}"/>
    <cellStyle name="Currency 5 3 2 3 3 3" xfId="5482" xr:uid="{00000000-0005-0000-0000-0000BB0C0000}"/>
    <cellStyle name="Currency 5 3 2 3 3 3 2" xfId="14808" xr:uid="{6AEF91F8-EC60-4105-B604-CC39416A28FA}"/>
    <cellStyle name="Currency 5 3 2 3 3 3 3" xfId="23255" xr:uid="{041DFAD6-1B57-4449-9577-99F124A85CE7}"/>
    <cellStyle name="Currency 5 3 2 3 3 4" xfId="10591" xr:uid="{0D7D0AE5-C62D-430D-9659-F5645D490DD4}"/>
    <cellStyle name="Currency 5 3 2 3 3 5" xfId="19038" xr:uid="{C7CD0FC2-F535-45E4-B15C-465B196687D8}"/>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6B705B0A-57AE-4BCE-BABB-08F85927352D}"/>
    <cellStyle name="Currency 5 3 2 3 4 2 2 3" xfId="25813" xr:uid="{33F14F36-561F-4852-8394-5A5DF63B8D3D}"/>
    <cellStyle name="Currency 5 3 2 3 4 2 3" xfId="13149" xr:uid="{84409CF3-1099-4DE2-BD90-9ACD015B3289}"/>
    <cellStyle name="Currency 5 3 2 3 4 2 4" xfId="21596" xr:uid="{E964D67A-D993-4E08-A660-9DEC6395D637}"/>
    <cellStyle name="Currency 5 3 2 3 4 3" xfId="5895" xr:uid="{00000000-0005-0000-0000-0000BF0C0000}"/>
    <cellStyle name="Currency 5 3 2 3 4 3 2" xfId="15221" xr:uid="{E10C87EB-3896-4F5A-B9C2-88EC1A48FE3D}"/>
    <cellStyle name="Currency 5 3 2 3 4 3 3" xfId="23668" xr:uid="{764DA117-11A7-4BDA-808B-4005203647E3}"/>
    <cellStyle name="Currency 5 3 2 3 4 4" xfId="11004" xr:uid="{29940E58-EBE7-4553-B7C3-D9DEF1751629}"/>
    <cellStyle name="Currency 5 3 2 3 4 5" xfId="19451" xr:uid="{21944BFB-8ED1-48FA-AEFA-2D163275E385}"/>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C7D69B32-3BEE-427D-8BE4-BCC62DA0D184}"/>
    <cellStyle name="Currency 5 3 2 3 5 2 2 3" xfId="26226" xr:uid="{56FE4697-E389-4289-888C-71D3DE732EB4}"/>
    <cellStyle name="Currency 5 3 2 3 5 2 3" xfId="13562" xr:uid="{F9AEEE5E-AA35-44F8-B314-0FF705B51EBD}"/>
    <cellStyle name="Currency 5 3 2 3 5 2 4" xfId="22009" xr:uid="{45E55F7B-BC60-4432-B23C-98530013EE29}"/>
    <cellStyle name="Currency 5 3 2 3 5 3" xfId="6308" xr:uid="{00000000-0005-0000-0000-0000C30C0000}"/>
    <cellStyle name="Currency 5 3 2 3 5 3 2" xfId="15634" xr:uid="{AE9A8A53-6DCE-4E48-A4CB-D300A933BC90}"/>
    <cellStyle name="Currency 5 3 2 3 5 3 3" xfId="24081" xr:uid="{A52D2BC0-2596-4564-B5ED-592931C536B4}"/>
    <cellStyle name="Currency 5 3 2 3 5 4" xfId="11417" xr:uid="{A08489F9-5B86-40F2-89B0-D4DD861FF475}"/>
    <cellStyle name="Currency 5 3 2 3 5 5" xfId="19864" xr:uid="{63A4E276-BF35-4E5B-8CE0-620149C44FDF}"/>
    <cellStyle name="Currency 5 3 2 3 6" xfId="2437" xr:uid="{00000000-0005-0000-0000-0000C40C0000}"/>
    <cellStyle name="Currency 5 3 2 3 6 2" xfId="6721" xr:uid="{00000000-0005-0000-0000-0000C50C0000}"/>
    <cellStyle name="Currency 5 3 2 3 6 2 2" xfId="16047" xr:uid="{3985E355-4E09-4F7D-8F1B-704947ACDFDE}"/>
    <cellStyle name="Currency 5 3 2 3 6 2 3" xfId="24494" xr:uid="{0A1E54FF-28E9-47CD-B299-50A0BE27E12A}"/>
    <cellStyle name="Currency 5 3 2 3 6 3" xfId="11830" xr:uid="{F5A8F793-6956-48F8-BD01-14C23E340FE2}"/>
    <cellStyle name="Currency 5 3 2 3 6 4" xfId="20277" xr:uid="{09DABDF5-0FA0-4FFF-BEE6-9046B50ADDD7}"/>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7654FDF8-78C3-4DB7-AD6E-053984D9EEB5}"/>
    <cellStyle name="Currency 5 3 2 3 8 2 3" xfId="24811" xr:uid="{BB24BE40-C332-4FDD-968D-7D740A215793}"/>
    <cellStyle name="Currency 5 3 2 3 8 3" xfId="12147" xr:uid="{C1E60ABC-A7AC-4AE5-A86C-D97988DFD85E}"/>
    <cellStyle name="Currency 5 3 2 3 8 4" xfId="20594" xr:uid="{2E0650FC-BEAE-4006-B222-6757E3BF82AE}"/>
    <cellStyle name="Currency 5 3 2 3 9" xfId="4655" xr:uid="{00000000-0005-0000-0000-0000C90C0000}"/>
    <cellStyle name="Currency 5 3 2 3 9 2" xfId="13981" xr:uid="{55C7D200-A215-491E-B9C4-4EAA477B0758}"/>
    <cellStyle name="Currency 5 3 2 3 9 3" xfId="22428" xr:uid="{17DE72FC-A503-418D-9306-903BFA17508D}"/>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B1953497-5E2D-478A-BFB7-FCA412FADBCF}"/>
    <cellStyle name="Currency 5 3 2 4 2 2 3" xfId="24984" xr:uid="{8CABE750-276A-421D-8DA2-BC758F77EF63}"/>
    <cellStyle name="Currency 5 3 2 4 2 3" xfId="12320" xr:uid="{473E5062-56D7-47F0-B70D-A35B7EC11C7B}"/>
    <cellStyle name="Currency 5 3 2 4 2 4" xfId="20767" xr:uid="{C7C9EFFE-7B69-4448-8656-1F18DB1CF02C}"/>
    <cellStyle name="Currency 5 3 2 4 3" xfId="5066" xr:uid="{00000000-0005-0000-0000-0000CD0C0000}"/>
    <cellStyle name="Currency 5 3 2 4 3 2" xfId="14392" xr:uid="{3E6FCCF9-BD17-4E72-B39E-3F8B76E796DA}"/>
    <cellStyle name="Currency 5 3 2 4 3 3" xfId="22839" xr:uid="{E2755BE4-289A-49D5-A8F2-3065189E8BDF}"/>
    <cellStyle name="Currency 5 3 2 4 4" xfId="9235" xr:uid="{F2FD4117-6EF1-4663-964A-AB5B57E6F469}"/>
    <cellStyle name="Currency 5 3 2 4 5" xfId="10175" xr:uid="{D1A5734E-BD59-4CD1-A0D7-DA35D314F2F7}"/>
    <cellStyle name="Currency 5 3 2 4 6" xfId="18622" xr:uid="{6B87BEE3-6916-4AE0-ADE7-ED7F9306245B}"/>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86E84837-2C62-4817-A8B5-035F23C0F4A6}"/>
    <cellStyle name="Currency 5 3 2 5 2 2 3" xfId="25397" xr:uid="{26DEBF0F-38E3-481F-9A64-D312C3D3200B}"/>
    <cellStyle name="Currency 5 3 2 5 2 3" xfId="12733" xr:uid="{C3206E0D-33A8-4543-8ADA-CB4464C03BF7}"/>
    <cellStyle name="Currency 5 3 2 5 2 4" xfId="21180" xr:uid="{541A167F-896F-4CA1-B727-5A73713DBD88}"/>
    <cellStyle name="Currency 5 3 2 5 3" xfId="5479" xr:uid="{00000000-0005-0000-0000-0000D10C0000}"/>
    <cellStyle name="Currency 5 3 2 5 3 2" xfId="14805" xr:uid="{E404EE5D-97B1-4687-9A0D-25B0C0EC29B8}"/>
    <cellStyle name="Currency 5 3 2 5 3 3" xfId="23252" xr:uid="{A8936023-420A-427B-ACEE-A9F89D18AE7F}"/>
    <cellStyle name="Currency 5 3 2 5 4" xfId="10588" xr:uid="{68FA9445-7B1E-4D83-8770-4E33F268D591}"/>
    <cellStyle name="Currency 5 3 2 5 5" xfId="19035" xr:uid="{8A23DC0C-F4AA-4930-AFBF-E14E0EE78F9A}"/>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750AE288-39F8-465E-9E9F-14C4012765A1}"/>
    <cellStyle name="Currency 5 3 2 6 2 2 3" xfId="25810" xr:uid="{C72832E1-3589-4399-8710-8D53D857E0CA}"/>
    <cellStyle name="Currency 5 3 2 6 2 3" xfId="13146" xr:uid="{D1CB4653-212A-4DE4-97DD-78424D7E0894}"/>
    <cellStyle name="Currency 5 3 2 6 2 4" xfId="21593" xr:uid="{975F9357-06FB-41D8-875E-39A8D56242C5}"/>
    <cellStyle name="Currency 5 3 2 6 3" xfId="5892" xr:uid="{00000000-0005-0000-0000-0000D50C0000}"/>
    <cellStyle name="Currency 5 3 2 6 3 2" xfId="15218" xr:uid="{E3BD8E26-B14D-4633-9C57-73B95AD2B70C}"/>
    <cellStyle name="Currency 5 3 2 6 3 3" xfId="23665" xr:uid="{70173A9C-91F2-4865-A739-5431F5BB9001}"/>
    <cellStyle name="Currency 5 3 2 6 4" xfId="11001" xr:uid="{D0776A90-C6C6-4598-A0D3-E9D1A35F70CB}"/>
    <cellStyle name="Currency 5 3 2 6 5" xfId="19448" xr:uid="{12FC53F6-6056-4C52-A383-3345E43B348C}"/>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005C4B78-F5C9-4996-B6E5-5FAC8AED92EA}"/>
    <cellStyle name="Currency 5 3 2 7 2 2 3" xfId="26223" xr:uid="{44DC4E0D-966E-452E-AE2D-A549961A519D}"/>
    <cellStyle name="Currency 5 3 2 7 2 3" xfId="13559" xr:uid="{8569C7E5-A35D-4D57-895F-5DC34D06DA23}"/>
    <cellStyle name="Currency 5 3 2 7 2 4" xfId="22006" xr:uid="{E3E07C68-0097-409B-AB1E-5A536D5D09A3}"/>
    <cellStyle name="Currency 5 3 2 7 3" xfId="6305" xr:uid="{00000000-0005-0000-0000-0000D90C0000}"/>
    <cellStyle name="Currency 5 3 2 7 3 2" xfId="15631" xr:uid="{5E1D6F49-A0FE-488B-BA06-D21D041F1A2E}"/>
    <cellStyle name="Currency 5 3 2 7 3 3" xfId="24078" xr:uid="{E339550F-D99D-469F-8A0F-F7037319D2EE}"/>
    <cellStyle name="Currency 5 3 2 7 4" xfId="11414" xr:uid="{2E3761DC-5D22-40E0-ADBA-C6F781D22EEE}"/>
    <cellStyle name="Currency 5 3 2 7 5" xfId="19861" xr:uid="{AEDE24C3-08B1-4EB1-8124-831386928CBD}"/>
    <cellStyle name="Currency 5 3 2 8" xfId="2434" xr:uid="{00000000-0005-0000-0000-0000DA0C0000}"/>
    <cellStyle name="Currency 5 3 2 8 2" xfId="6718" xr:uid="{00000000-0005-0000-0000-0000DB0C0000}"/>
    <cellStyle name="Currency 5 3 2 8 2 2" xfId="16044" xr:uid="{8CACC163-6BE4-4058-9353-7067372F12A0}"/>
    <cellStyle name="Currency 5 3 2 8 2 3" xfId="24491" xr:uid="{9F4E1122-C072-4737-84A7-C8E76B1D3960}"/>
    <cellStyle name="Currency 5 3 2 8 3" xfId="11827" xr:uid="{FFA08F5F-D171-4788-A68F-F62748EC0C53}"/>
    <cellStyle name="Currency 5 3 2 8 4" xfId="20274" xr:uid="{E5FD78EF-53D4-463A-B3F3-50CFB15E349A}"/>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E57DC898-28A8-4695-A39D-81C66AB34A22}"/>
    <cellStyle name="Currency 5 3 3 10 3" xfId="22429" xr:uid="{24D4F1A9-5BAB-410F-9780-CD56ACB027F9}"/>
    <cellStyle name="Currency 5 3 3 11" xfId="8882" xr:uid="{A86B3ED4-B552-42F3-9E77-C6763F86EEE6}"/>
    <cellStyle name="Currency 5 3 3 12" xfId="9765" xr:uid="{2521AE0D-12B1-47EC-9E53-B78ADF99EC68}"/>
    <cellStyle name="Currency 5 3 3 13" xfId="18212" xr:uid="{720845AD-6414-4321-9C4B-B6FC611E2C43}"/>
    <cellStyle name="Currency 5 3 3 2" xfId="215" xr:uid="{00000000-0005-0000-0000-0000DF0C0000}"/>
    <cellStyle name="Currency 5 3 3 2 10" xfId="9089" xr:uid="{7CFB8DCC-02AE-4CC5-8E10-3D33399ECECE}"/>
    <cellStyle name="Currency 5 3 3 2 11" xfId="9766" xr:uid="{6D31658E-634B-49E3-8530-46C707500B14}"/>
    <cellStyle name="Currency 5 3 3 2 12" xfId="18213" xr:uid="{5A15ECB4-A5C2-46A6-9085-D0CE1D0B1133}"/>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6F0F05F7-83D6-4B16-9FDD-10AC2A192BC7}"/>
    <cellStyle name="Currency 5 3 3 2 2 2 2 3" xfId="24989" xr:uid="{A1348FCF-25D0-41F0-B5BD-8A8A7A8142FA}"/>
    <cellStyle name="Currency 5 3 3 2 2 2 3" xfId="12325" xr:uid="{F321A45E-21C7-4E4F-88F0-543EC2C15623}"/>
    <cellStyle name="Currency 5 3 3 2 2 2 4" xfId="20772" xr:uid="{9E41F6F1-8A4D-4D7D-9DAE-917435AEF5DE}"/>
    <cellStyle name="Currency 5 3 3 2 2 3" xfId="5071" xr:uid="{00000000-0005-0000-0000-0000E30C0000}"/>
    <cellStyle name="Currency 5 3 3 2 2 3 2" xfId="14397" xr:uid="{D0627669-1750-485C-B1DE-55271DD5B5CA}"/>
    <cellStyle name="Currency 5 3 3 2 2 3 3" xfId="22844" xr:uid="{80C6C73F-22D7-44B1-B389-1E10DBABA0F4}"/>
    <cellStyle name="Currency 5 3 3 2 2 4" xfId="9514" xr:uid="{9A504F43-6423-4200-B7AF-F17B65B2005C}"/>
    <cellStyle name="Currency 5 3 3 2 2 5" xfId="10180" xr:uid="{80F2BD4E-206A-4AEB-8CE4-310CB1652AA4}"/>
    <cellStyle name="Currency 5 3 3 2 2 6" xfId="18627" xr:uid="{34489637-5263-4284-BDD9-6C7E10FC6264}"/>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BF1C94BA-8D4F-422D-AD1E-F9DAEA8F37EA}"/>
    <cellStyle name="Currency 5 3 3 2 3 2 2 3" xfId="25402" xr:uid="{A7405209-BE4B-46EA-A6BD-F9CF107774A5}"/>
    <cellStyle name="Currency 5 3 3 2 3 2 3" xfId="12738" xr:uid="{9CC2C8A3-FA66-4299-B588-B403F6EEC5F1}"/>
    <cellStyle name="Currency 5 3 3 2 3 2 4" xfId="21185" xr:uid="{7CA25CD3-CB6C-4DB7-94CE-BAF88C1E79BD}"/>
    <cellStyle name="Currency 5 3 3 2 3 3" xfId="5484" xr:uid="{00000000-0005-0000-0000-0000E70C0000}"/>
    <cellStyle name="Currency 5 3 3 2 3 3 2" xfId="14810" xr:uid="{5333DD4C-7108-4152-867C-3276171C8F9C}"/>
    <cellStyle name="Currency 5 3 3 2 3 3 3" xfId="23257" xr:uid="{77BE6E85-7F91-4958-80A1-099F65A5D220}"/>
    <cellStyle name="Currency 5 3 3 2 3 4" xfId="10593" xr:uid="{71BE35A9-25D1-4A0A-A044-FBB409951938}"/>
    <cellStyle name="Currency 5 3 3 2 3 5" xfId="19040" xr:uid="{7A8F700B-1982-49AC-A523-A4CC8795FE63}"/>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E3E9B6D1-BA06-4535-97E4-39CE5A80252D}"/>
    <cellStyle name="Currency 5 3 3 2 4 2 2 3" xfId="25815" xr:uid="{80E5DC42-FA87-4800-94A4-BFF27702E5A1}"/>
    <cellStyle name="Currency 5 3 3 2 4 2 3" xfId="13151" xr:uid="{A60BC21B-CD6E-48D2-A96B-275353D8E730}"/>
    <cellStyle name="Currency 5 3 3 2 4 2 4" xfId="21598" xr:uid="{E786CC08-FFAF-4B99-9367-E3304C11E961}"/>
    <cellStyle name="Currency 5 3 3 2 4 3" xfId="5897" xr:uid="{00000000-0005-0000-0000-0000EB0C0000}"/>
    <cellStyle name="Currency 5 3 3 2 4 3 2" xfId="15223" xr:uid="{E09EB15F-313C-4C1C-9A1B-5096EBF7B007}"/>
    <cellStyle name="Currency 5 3 3 2 4 3 3" xfId="23670" xr:uid="{347185EA-85E1-4027-BBC8-30D27B906F5F}"/>
    <cellStyle name="Currency 5 3 3 2 4 4" xfId="11006" xr:uid="{9CA7CBEA-40B0-4820-B6E9-5C1C20AC31D3}"/>
    <cellStyle name="Currency 5 3 3 2 4 5" xfId="19453" xr:uid="{79CEAD3C-D64A-4EEA-9C79-0D720747365A}"/>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754D5435-B1CC-4B6E-A0AB-2868273F77A9}"/>
    <cellStyle name="Currency 5 3 3 2 5 2 2 3" xfId="26228" xr:uid="{E837B68D-94E0-45FE-A94D-B48B07B44B48}"/>
    <cellStyle name="Currency 5 3 3 2 5 2 3" xfId="13564" xr:uid="{A6FD290E-AED4-497F-A1D2-DCD2FA6EB9BF}"/>
    <cellStyle name="Currency 5 3 3 2 5 2 4" xfId="22011" xr:uid="{5EED77FC-A4B2-423F-B80C-BBEA1FBC7409}"/>
    <cellStyle name="Currency 5 3 3 2 5 3" xfId="6310" xr:uid="{00000000-0005-0000-0000-0000EF0C0000}"/>
    <cellStyle name="Currency 5 3 3 2 5 3 2" xfId="15636" xr:uid="{CEFBAF3A-B27C-418C-AD7D-D99E00C2B804}"/>
    <cellStyle name="Currency 5 3 3 2 5 3 3" xfId="24083" xr:uid="{5C9DBEDD-D681-47FF-8820-B463D8AA6BAD}"/>
    <cellStyle name="Currency 5 3 3 2 5 4" xfId="11419" xr:uid="{097DD0B5-0A67-409A-BB08-557260DF3744}"/>
    <cellStyle name="Currency 5 3 3 2 5 5" xfId="19866" xr:uid="{9A80304A-09D5-4541-B1F0-CEE01D2798DF}"/>
    <cellStyle name="Currency 5 3 3 2 6" xfId="2439" xr:uid="{00000000-0005-0000-0000-0000F00C0000}"/>
    <cellStyle name="Currency 5 3 3 2 6 2" xfId="6723" xr:uid="{00000000-0005-0000-0000-0000F10C0000}"/>
    <cellStyle name="Currency 5 3 3 2 6 2 2" xfId="16049" xr:uid="{16D296F4-DBB9-4114-9290-2C0C79E5D39C}"/>
    <cellStyle name="Currency 5 3 3 2 6 2 3" xfId="24496" xr:uid="{F9251000-1632-46C5-AC4D-21E25E23CCB1}"/>
    <cellStyle name="Currency 5 3 3 2 6 3" xfId="11832" xr:uid="{9ED8893B-0E7A-4D6A-BB42-088CC8597963}"/>
    <cellStyle name="Currency 5 3 3 2 6 4" xfId="20279" xr:uid="{ADC7D41D-8CDD-49F7-8FBD-3E5708F44CB5}"/>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CEA79F4E-CA63-4257-8949-F44AB788E997}"/>
    <cellStyle name="Currency 5 3 3 2 8 2 3" xfId="24813" xr:uid="{4E54AFF7-9EB4-4F9D-A0EA-C61404BA458D}"/>
    <cellStyle name="Currency 5 3 3 2 8 3" xfId="12149" xr:uid="{71F7793C-1B82-4D71-93FF-5A13B20CB6C8}"/>
    <cellStyle name="Currency 5 3 3 2 8 4" xfId="20596" xr:uid="{BA85B0E6-59E2-4C3A-8A50-DE1431EB7171}"/>
    <cellStyle name="Currency 5 3 3 2 9" xfId="4657" xr:uid="{00000000-0005-0000-0000-0000F50C0000}"/>
    <cellStyle name="Currency 5 3 3 2 9 2" xfId="13983" xr:uid="{0382BD0E-DA84-4308-A4E6-1BE4798E5B22}"/>
    <cellStyle name="Currency 5 3 3 2 9 3" xfId="22430" xr:uid="{2D34369C-D989-43CE-A12D-7892DB81C0ED}"/>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06C8A8DB-2292-42FB-9960-F6DD7C1B73FE}"/>
    <cellStyle name="Currency 5 3 3 3 2 2 3" xfId="24988" xr:uid="{AF0EBBE2-5F14-47BA-9AB5-CD278DC08C21}"/>
    <cellStyle name="Currency 5 3 3 3 2 3" xfId="12324" xr:uid="{C9522080-8BF8-4195-BEB9-36EAEF31A6ED}"/>
    <cellStyle name="Currency 5 3 3 3 2 4" xfId="20771" xr:uid="{7676B474-5867-4AFB-B298-CF8C8DC11D60}"/>
    <cellStyle name="Currency 5 3 3 3 3" xfId="5070" xr:uid="{00000000-0005-0000-0000-0000F90C0000}"/>
    <cellStyle name="Currency 5 3 3 3 3 2" xfId="14396" xr:uid="{8112133C-3C5A-4ED1-9D98-4D77B920874D}"/>
    <cellStyle name="Currency 5 3 3 3 3 3" xfId="22843" xr:uid="{737C6ACA-AFAC-483A-9CE6-FCCBB2AC4062}"/>
    <cellStyle name="Currency 5 3 3 3 4" xfId="9307" xr:uid="{3F0512A0-B779-46E4-A963-62E327C6AC5F}"/>
    <cellStyle name="Currency 5 3 3 3 5" xfId="10179" xr:uid="{E9F24618-C2D8-4958-BDE5-47772E35A6EB}"/>
    <cellStyle name="Currency 5 3 3 3 6" xfId="18626" xr:uid="{507872FD-7815-4F0E-85C8-61133265B72F}"/>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F8299D74-C760-4C03-A280-E838A4BE0DA9}"/>
    <cellStyle name="Currency 5 3 3 4 2 2 3" xfId="25401" xr:uid="{CBDCBC10-EF9E-4677-B6D5-F01EBEAEC708}"/>
    <cellStyle name="Currency 5 3 3 4 2 3" xfId="12737" xr:uid="{C60EB7EF-A569-4476-B822-195E3A62A419}"/>
    <cellStyle name="Currency 5 3 3 4 2 4" xfId="21184" xr:uid="{76A27A4C-48C0-41CB-9879-08BC641962CE}"/>
    <cellStyle name="Currency 5 3 3 4 3" xfId="5483" xr:uid="{00000000-0005-0000-0000-0000FD0C0000}"/>
    <cellStyle name="Currency 5 3 3 4 3 2" xfId="14809" xr:uid="{761FB508-B7BD-4B1C-A119-D0490A858049}"/>
    <cellStyle name="Currency 5 3 3 4 3 3" xfId="23256" xr:uid="{98C7FE2C-DBD3-47A2-B277-62A60D8CAD28}"/>
    <cellStyle name="Currency 5 3 3 4 4" xfId="10592" xr:uid="{4C296542-6A83-45AA-AB96-50FE0D467DBF}"/>
    <cellStyle name="Currency 5 3 3 4 5" xfId="19039" xr:uid="{BB870F59-15CF-4E50-8475-719552C2AFFA}"/>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EFF66096-91FF-454E-AB2B-070FE472F042}"/>
    <cellStyle name="Currency 5 3 3 5 2 2 3" xfId="25814" xr:uid="{27145D2D-520A-4E37-AC8A-D499AD955CDD}"/>
    <cellStyle name="Currency 5 3 3 5 2 3" xfId="13150" xr:uid="{677650E4-DEFA-4FD7-92E1-F2688EB2BCF3}"/>
    <cellStyle name="Currency 5 3 3 5 2 4" xfId="21597" xr:uid="{C5E4E4C1-AB75-45D5-AF9A-A12F9E22C5D0}"/>
    <cellStyle name="Currency 5 3 3 5 3" xfId="5896" xr:uid="{00000000-0005-0000-0000-0000010D0000}"/>
    <cellStyle name="Currency 5 3 3 5 3 2" xfId="15222" xr:uid="{C471F389-A3DD-42D6-9DBE-C93C1051E1D6}"/>
    <cellStyle name="Currency 5 3 3 5 3 3" xfId="23669" xr:uid="{5D5BD630-37F8-4547-83F4-1CFFC7AAA1AE}"/>
    <cellStyle name="Currency 5 3 3 5 4" xfId="11005" xr:uid="{0C63FB87-4C86-47DB-822A-19F65697580A}"/>
    <cellStyle name="Currency 5 3 3 5 5" xfId="19452" xr:uid="{85D3698B-C047-460B-818D-1A58EB51965B}"/>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E1B55340-5390-417D-A3C4-86DA3A532AEE}"/>
    <cellStyle name="Currency 5 3 3 6 2 2 3" xfId="26227" xr:uid="{8A9D3CB5-E3FF-460D-9B80-4932FAAF7317}"/>
    <cellStyle name="Currency 5 3 3 6 2 3" xfId="13563" xr:uid="{B6BEACB3-84B6-4EC8-BA60-9157582CA084}"/>
    <cellStyle name="Currency 5 3 3 6 2 4" xfId="22010" xr:uid="{D5E6A1DA-0933-472B-9B4B-82D623DF0F64}"/>
    <cellStyle name="Currency 5 3 3 6 3" xfId="6309" xr:uid="{00000000-0005-0000-0000-0000050D0000}"/>
    <cellStyle name="Currency 5 3 3 6 3 2" xfId="15635" xr:uid="{70D64F82-7979-414A-B509-9A6DB1A4D0CD}"/>
    <cellStyle name="Currency 5 3 3 6 3 3" xfId="24082" xr:uid="{A3CE5F0A-2ED1-4E89-99C3-6B2F9E7F796C}"/>
    <cellStyle name="Currency 5 3 3 6 4" xfId="11418" xr:uid="{B2CEA175-90D3-451D-AAC1-FB5833595A47}"/>
    <cellStyle name="Currency 5 3 3 6 5" xfId="19865" xr:uid="{765AA485-7B72-4272-BC7B-1EC58900D23C}"/>
    <cellStyle name="Currency 5 3 3 7" xfId="2438" xr:uid="{00000000-0005-0000-0000-0000060D0000}"/>
    <cellStyle name="Currency 5 3 3 7 2" xfId="6722" xr:uid="{00000000-0005-0000-0000-0000070D0000}"/>
    <cellStyle name="Currency 5 3 3 7 2 2" xfId="16048" xr:uid="{59595DC5-90EB-420E-9319-1BFA48CD4AF4}"/>
    <cellStyle name="Currency 5 3 3 7 2 3" xfId="24495" xr:uid="{82157CB0-F6C2-4D21-9979-A18EAEA0BF07}"/>
    <cellStyle name="Currency 5 3 3 7 3" xfId="11831" xr:uid="{04E322A0-6F3B-4FD6-BF46-CA95E85D62B4}"/>
    <cellStyle name="Currency 5 3 3 7 4" xfId="20278" xr:uid="{CB0B6AEE-EE16-42CC-BBCA-DF3A971A3C50}"/>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F27F0520-19B2-4B3D-A6D0-46F8CAF31D3E}"/>
    <cellStyle name="Currency 5 3 3 9 2 3" xfId="24812" xr:uid="{18A9BC1A-F5EE-4C37-A5AC-D8A88F573980}"/>
    <cellStyle name="Currency 5 3 3 9 3" xfId="12148" xr:uid="{F85DCF0A-4920-4CFC-8C1E-DB1DDDED5F69}"/>
    <cellStyle name="Currency 5 3 3 9 4" xfId="20595" xr:uid="{772ABFAF-55FD-4594-A023-E3092579B436}"/>
    <cellStyle name="Currency 5 3 4" xfId="216" xr:uid="{00000000-0005-0000-0000-00000B0D0000}"/>
    <cellStyle name="Currency 5 3 4 10" xfId="8986" xr:uid="{4F6CFA4A-F10A-4043-AD92-C0A3F7F06459}"/>
    <cellStyle name="Currency 5 3 4 11" xfId="9767" xr:uid="{14B1F3B5-B04B-4619-99E7-3BEDC433D054}"/>
    <cellStyle name="Currency 5 3 4 12" xfId="18214" xr:uid="{A10A6F79-1BFB-4562-A2FD-9817EDA79F6B}"/>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003B2CC9-AD0B-44BF-8582-0F30CCB107A8}"/>
    <cellStyle name="Currency 5 3 4 2 2 2 3" xfId="24990" xr:uid="{AB4463D0-91AF-4149-A89A-03D16775CDCF}"/>
    <cellStyle name="Currency 5 3 4 2 2 3" xfId="12326" xr:uid="{4F7194F0-6296-4E5A-BAD8-2BBC47CEBAB0}"/>
    <cellStyle name="Currency 5 3 4 2 2 4" xfId="20773" xr:uid="{108967D5-EB56-46AC-B863-1E6A34B59285}"/>
    <cellStyle name="Currency 5 3 4 2 3" xfId="5072" xr:uid="{00000000-0005-0000-0000-00000F0D0000}"/>
    <cellStyle name="Currency 5 3 4 2 3 2" xfId="14398" xr:uid="{58C35688-208D-4B8B-BD80-9530D82EFE35}"/>
    <cellStyle name="Currency 5 3 4 2 3 3" xfId="22845" xr:uid="{40BAF151-2E56-490D-ACBE-F055466E2FDF}"/>
    <cellStyle name="Currency 5 3 4 2 4" xfId="9411" xr:uid="{2729DEB6-408B-463E-B468-91D932C31FD7}"/>
    <cellStyle name="Currency 5 3 4 2 5" xfId="10181" xr:uid="{9DC79ECB-4E80-431C-87B4-0876971D35D7}"/>
    <cellStyle name="Currency 5 3 4 2 6" xfId="18628" xr:uid="{306E1985-2C63-478D-8C0E-75B05D5F4E71}"/>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E67B1DDD-3CBD-468C-A199-2752C13C90C1}"/>
    <cellStyle name="Currency 5 3 4 3 2 2 3" xfId="25403" xr:uid="{5A5872D7-3418-4236-B8AC-39D18B2D8599}"/>
    <cellStyle name="Currency 5 3 4 3 2 3" xfId="12739" xr:uid="{62BE64F7-E935-4500-863B-36A365D26017}"/>
    <cellStyle name="Currency 5 3 4 3 2 4" xfId="21186" xr:uid="{875DA181-B789-426F-9D2E-D128422EE512}"/>
    <cellStyle name="Currency 5 3 4 3 3" xfId="5485" xr:uid="{00000000-0005-0000-0000-0000130D0000}"/>
    <cellStyle name="Currency 5 3 4 3 3 2" xfId="14811" xr:uid="{9E2252D4-3245-4096-BC10-ADC7B4409BF7}"/>
    <cellStyle name="Currency 5 3 4 3 3 3" xfId="23258" xr:uid="{7009A833-EB10-4DD8-81CB-17C21F2C2A02}"/>
    <cellStyle name="Currency 5 3 4 3 4" xfId="10594" xr:uid="{28B46CA6-F46A-468F-9CDB-E0CA782009E2}"/>
    <cellStyle name="Currency 5 3 4 3 5" xfId="19041" xr:uid="{19313CA6-E76F-4DB9-B855-C2F0696293F4}"/>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A32FA49D-2E35-4030-8DDE-BD27B9007874}"/>
    <cellStyle name="Currency 5 3 4 4 2 2 3" xfId="25816" xr:uid="{40F27B28-880B-4CFF-8E1B-269751F54CF4}"/>
    <cellStyle name="Currency 5 3 4 4 2 3" xfId="13152" xr:uid="{80C3C28A-7019-4C82-8463-DE578E254F9D}"/>
    <cellStyle name="Currency 5 3 4 4 2 4" xfId="21599" xr:uid="{7FB92913-30A2-4F27-BC5A-9CAA7B319AB1}"/>
    <cellStyle name="Currency 5 3 4 4 3" xfId="5898" xr:uid="{00000000-0005-0000-0000-0000170D0000}"/>
    <cellStyle name="Currency 5 3 4 4 3 2" xfId="15224" xr:uid="{F2F0BDDA-31BA-46E1-A136-88D589047982}"/>
    <cellStyle name="Currency 5 3 4 4 3 3" xfId="23671" xr:uid="{E8B417B9-E5EA-4B15-B004-716E0B8CDD69}"/>
    <cellStyle name="Currency 5 3 4 4 4" xfId="11007" xr:uid="{F1C50E64-9562-4A61-9DAF-34D1668A659F}"/>
    <cellStyle name="Currency 5 3 4 4 5" xfId="19454" xr:uid="{58202142-3372-4EFD-B82F-3D2EC651CD16}"/>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25B47FD8-F85B-4495-9B3B-6FAA8AF6BB23}"/>
    <cellStyle name="Currency 5 3 4 5 2 2 3" xfId="26229" xr:uid="{D681C33C-B0C5-494B-AB16-D284FA29F7FE}"/>
    <cellStyle name="Currency 5 3 4 5 2 3" xfId="13565" xr:uid="{5587148D-707C-4B51-A61F-5BDB5B14EBA5}"/>
    <cellStyle name="Currency 5 3 4 5 2 4" xfId="22012" xr:uid="{9CF3F44A-CFA2-49EA-99F1-6FCC1A1F3853}"/>
    <cellStyle name="Currency 5 3 4 5 3" xfId="6311" xr:uid="{00000000-0005-0000-0000-00001B0D0000}"/>
    <cellStyle name="Currency 5 3 4 5 3 2" xfId="15637" xr:uid="{42E65CBF-96BE-472C-A00B-FDC4FBD6EE83}"/>
    <cellStyle name="Currency 5 3 4 5 3 3" xfId="24084" xr:uid="{0ECEFCC5-C501-451F-B359-E6C9F38F2DB3}"/>
    <cellStyle name="Currency 5 3 4 5 4" xfId="11420" xr:uid="{5DD5FAB8-8E13-4F07-9E7A-5DF1AD8B6A06}"/>
    <cellStyle name="Currency 5 3 4 5 5" xfId="19867" xr:uid="{F8E11967-DB8C-44CF-98D3-06BEA782D717}"/>
    <cellStyle name="Currency 5 3 4 6" xfId="2440" xr:uid="{00000000-0005-0000-0000-00001C0D0000}"/>
    <cellStyle name="Currency 5 3 4 6 2" xfId="6724" xr:uid="{00000000-0005-0000-0000-00001D0D0000}"/>
    <cellStyle name="Currency 5 3 4 6 2 2" xfId="16050" xr:uid="{852D856A-0F17-4A9B-B879-9C0F4CFC6C0F}"/>
    <cellStyle name="Currency 5 3 4 6 2 3" xfId="24497" xr:uid="{BD0A40B5-E3E5-4920-8C77-2F740BF198AB}"/>
    <cellStyle name="Currency 5 3 4 6 3" xfId="11833" xr:uid="{0091E951-B206-4F51-808D-88BB483560E3}"/>
    <cellStyle name="Currency 5 3 4 6 4" xfId="20280" xr:uid="{3A86BF1D-9E93-4DDC-8373-236F807017B2}"/>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74F46A28-BB1B-4880-AA7C-8D20DF7779B9}"/>
    <cellStyle name="Currency 5 3 4 8 2 3" xfId="24814" xr:uid="{E35D473A-CB0A-4538-8181-1D5586EC7034}"/>
    <cellStyle name="Currency 5 3 4 8 3" xfId="12150" xr:uid="{438B0CCC-65EB-40B9-B2FD-73D307BCE4FE}"/>
    <cellStyle name="Currency 5 3 4 8 4" xfId="20597" xr:uid="{14168C52-6FC3-45FB-8114-70DFCC67A249}"/>
    <cellStyle name="Currency 5 3 4 9" xfId="4658" xr:uid="{00000000-0005-0000-0000-0000210D0000}"/>
    <cellStyle name="Currency 5 3 4 9 2" xfId="13984" xr:uid="{B77D7AA9-C01C-4951-A3AA-5891131C0F7E}"/>
    <cellStyle name="Currency 5 3 4 9 3" xfId="22431" xr:uid="{AF198A32-C698-413C-8679-85F6C747946D}"/>
    <cellStyle name="Currency 5 3 5" xfId="217" xr:uid="{00000000-0005-0000-0000-0000220D0000}"/>
    <cellStyle name="Currency 5 3 5 10" xfId="9203" xr:uid="{6167CBBD-227C-4457-B6B6-18EF5C089771}"/>
    <cellStyle name="Currency 5 3 5 11" xfId="9768" xr:uid="{35DE5CA5-B013-4CC9-8E7D-931A009BF011}"/>
    <cellStyle name="Currency 5 3 5 12" xfId="18215" xr:uid="{327E77A3-8E57-415B-A320-C7A72059D8F5}"/>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1FF3AD93-E238-4875-BD30-A13CA5D3C5FC}"/>
    <cellStyle name="Currency 5 3 5 2 2 2 3" xfId="24991" xr:uid="{F74CD3B4-22D7-48FC-8ABD-C48E47532C1E}"/>
    <cellStyle name="Currency 5 3 5 2 2 3" xfId="12327" xr:uid="{F3885651-D928-4FFF-8AAF-EE28C89B7DBC}"/>
    <cellStyle name="Currency 5 3 5 2 2 4" xfId="20774" xr:uid="{5BA3A084-7D6E-4845-A7A3-BD0B055FE0C6}"/>
    <cellStyle name="Currency 5 3 5 2 3" xfId="5073" xr:uid="{00000000-0005-0000-0000-0000260D0000}"/>
    <cellStyle name="Currency 5 3 5 2 3 2" xfId="14399" xr:uid="{7F5454D2-FC80-4C8C-98F2-81C5AB07AA37}"/>
    <cellStyle name="Currency 5 3 5 2 3 3" xfId="22846" xr:uid="{DEBB2B1A-8C92-4397-AD42-01EDF575788A}"/>
    <cellStyle name="Currency 5 3 5 2 4" xfId="9600" xr:uid="{650A4058-48FE-4F3E-8845-8F52DF332026}"/>
    <cellStyle name="Currency 5 3 5 2 5" xfId="10182" xr:uid="{CD492A64-8ED9-460E-A482-972BB04E28F5}"/>
    <cellStyle name="Currency 5 3 5 2 6" xfId="18629" xr:uid="{4A76BF64-7552-4C88-8943-250FD4147045}"/>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72BE4C4F-BFAD-4F88-9BE4-2697C386E5CD}"/>
    <cellStyle name="Currency 5 3 5 3 2 2 3" xfId="25404" xr:uid="{A1976BEA-4904-4B40-8C03-D06A63ED8E35}"/>
    <cellStyle name="Currency 5 3 5 3 2 3" xfId="12740" xr:uid="{465DA3BE-5F97-43EA-9D21-D8A8D106452B}"/>
    <cellStyle name="Currency 5 3 5 3 2 4" xfId="21187" xr:uid="{359115F4-4B3F-4D43-907E-0CB07A94429E}"/>
    <cellStyle name="Currency 5 3 5 3 3" xfId="5486" xr:uid="{00000000-0005-0000-0000-00002A0D0000}"/>
    <cellStyle name="Currency 5 3 5 3 3 2" xfId="14812" xr:uid="{C5F9BCB6-1765-425B-911B-93CD356E2B45}"/>
    <cellStyle name="Currency 5 3 5 3 3 3" xfId="23259" xr:uid="{D1FF84DF-DB86-4A60-884A-08A24A751ED1}"/>
    <cellStyle name="Currency 5 3 5 3 4" xfId="10595" xr:uid="{27B76A8C-CDE2-430C-853A-791E994040F4}"/>
    <cellStyle name="Currency 5 3 5 3 5" xfId="19042" xr:uid="{AAFCA56A-ADA4-462C-87B4-CB610061F277}"/>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1611716F-2EB0-43D0-9FD4-BD2806A293C4}"/>
    <cellStyle name="Currency 5 3 5 4 2 2 3" xfId="25817" xr:uid="{5A2B0FD8-5B41-4A04-9CA8-998765242966}"/>
    <cellStyle name="Currency 5 3 5 4 2 3" xfId="13153" xr:uid="{747CD9F7-57C6-4521-BF97-0A595FE6041A}"/>
    <cellStyle name="Currency 5 3 5 4 2 4" xfId="21600" xr:uid="{479819C9-91B0-414F-9697-FF5B38518C37}"/>
    <cellStyle name="Currency 5 3 5 4 3" xfId="5899" xr:uid="{00000000-0005-0000-0000-00002E0D0000}"/>
    <cellStyle name="Currency 5 3 5 4 3 2" xfId="15225" xr:uid="{85414383-EF24-49DF-AD18-4BC56F9AB1F4}"/>
    <cellStyle name="Currency 5 3 5 4 3 3" xfId="23672" xr:uid="{B3A6193C-184B-4721-9E44-C809618D7891}"/>
    <cellStyle name="Currency 5 3 5 4 4" xfId="11008" xr:uid="{43BF802E-FA66-42A7-A369-E88B3AC9901E}"/>
    <cellStyle name="Currency 5 3 5 4 5" xfId="19455" xr:uid="{65056371-1843-4FE6-B244-507E4CDAA2DC}"/>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5218981E-1000-4EE4-8CCD-13550F2DBBE2}"/>
    <cellStyle name="Currency 5 3 5 5 2 2 3" xfId="26230" xr:uid="{1ED37BCB-6017-4885-97CD-8BB3639E94E7}"/>
    <cellStyle name="Currency 5 3 5 5 2 3" xfId="13566" xr:uid="{A8CFD64E-3C7C-4057-98AF-40E0B453A101}"/>
    <cellStyle name="Currency 5 3 5 5 2 4" xfId="22013" xr:uid="{85C75CC7-D5D2-46FA-A7A5-C7C9E0CE774C}"/>
    <cellStyle name="Currency 5 3 5 5 3" xfId="6312" xr:uid="{00000000-0005-0000-0000-0000320D0000}"/>
    <cellStyle name="Currency 5 3 5 5 3 2" xfId="15638" xr:uid="{7661CA51-4390-4C43-8B31-02A07C18FF14}"/>
    <cellStyle name="Currency 5 3 5 5 3 3" xfId="24085" xr:uid="{2C7CA663-506C-4B5E-A9D5-A252D5F01722}"/>
    <cellStyle name="Currency 5 3 5 5 4" xfId="11421" xr:uid="{CFD35E84-0526-4D7C-B5DB-BC445919D776}"/>
    <cellStyle name="Currency 5 3 5 5 5" xfId="19868" xr:uid="{5DC06EBD-D4CA-434E-9BAC-E5070863143C}"/>
    <cellStyle name="Currency 5 3 5 6" xfId="2441" xr:uid="{00000000-0005-0000-0000-0000330D0000}"/>
    <cellStyle name="Currency 5 3 5 6 2" xfId="6725" xr:uid="{00000000-0005-0000-0000-0000340D0000}"/>
    <cellStyle name="Currency 5 3 5 6 2 2" xfId="16051" xr:uid="{3BC6F42A-05BD-498D-96DA-3F7BAF0BCF17}"/>
    <cellStyle name="Currency 5 3 5 6 2 3" xfId="24498" xr:uid="{E4A4640E-049E-4BFB-9F51-30FB801A227C}"/>
    <cellStyle name="Currency 5 3 5 6 3" xfId="11834" xr:uid="{6D3D01F8-0167-4901-A416-5483CAC2942D}"/>
    <cellStyle name="Currency 5 3 5 6 4" xfId="20281" xr:uid="{2E169CBF-35BE-4D2A-8B2F-EF64C7FBBAAE}"/>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58B47D70-5E1D-4315-A6A7-22000ECFBBBC}"/>
    <cellStyle name="Currency 5 3 5 8 2 3" xfId="24815" xr:uid="{71994827-99D7-46BE-B98E-131EF975A713}"/>
    <cellStyle name="Currency 5 3 5 8 3" xfId="12151" xr:uid="{9D69BD72-246D-4AED-A1CB-49F08DAAE353}"/>
    <cellStyle name="Currency 5 3 5 8 4" xfId="20598" xr:uid="{8B0DAAB3-1CCC-493E-9ABF-B92125EEC131}"/>
    <cellStyle name="Currency 5 3 5 9" xfId="4659" xr:uid="{00000000-0005-0000-0000-0000380D0000}"/>
    <cellStyle name="Currency 5 3 5 9 2" xfId="13985" xr:uid="{48A4DE1E-A77A-45E5-A444-17BF57E49646}"/>
    <cellStyle name="Currency 5 3 5 9 3" xfId="22432" xr:uid="{C7067192-AC27-4B5D-B5D4-9F6EC2EB0CCB}"/>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4E47C132-EEE3-49E0-A0CE-FA53D8BEC049}"/>
    <cellStyle name="Currency 5 5 10 3" xfId="22433" xr:uid="{269A499A-922E-4474-AA47-82F826E2116C}"/>
    <cellStyle name="Currency 5 5 11" xfId="8850" xr:uid="{8F129173-F323-478F-8B06-1E2599EB26C1}"/>
    <cellStyle name="Currency 5 5 12" xfId="9769" xr:uid="{9E7A81BC-A28C-4687-8620-D70C7594AAE3}"/>
    <cellStyle name="Currency 5 5 13" xfId="18216" xr:uid="{9D86BEBF-954A-4259-B533-AB27A233EA49}"/>
    <cellStyle name="Currency 5 5 2" xfId="220" xr:uid="{00000000-0005-0000-0000-00003D0D0000}"/>
    <cellStyle name="Currency 5 5 2 10" xfId="9057" xr:uid="{90E61E49-0971-4EC1-90D8-E015846E4FB2}"/>
    <cellStyle name="Currency 5 5 2 11" xfId="9770" xr:uid="{77ACBABE-77FE-4AFD-BF9A-DA9FE78BAFE0}"/>
    <cellStyle name="Currency 5 5 2 12" xfId="18217" xr:uid="{DED9EB25-F393-456F-AABF-3FFD66A49420}"/>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AFD1DC17-969F-46BB-BA20-9579C382A2BA}"/>
    <cellStyle name="Currency 5 5 2 2 2 2 3" xfId="24993" xr:uid="{C30EEDF2-1FA6-4F65-82EE-E40921FBD55B}"/>
    <cellStyle name="Currency 5 5 2 2 2 3" xfId="12329" xr:uid="{0A1758E2-DD6E-44BB-83D5-A42BFDFEE8D2}"/>
    <cellStyle name="Currency 5 5 2 2 2 4" xfId="20776" xr:uid="{FC39E040-1A04-4FC0-A47D-24B370C23E5D}"/>
    <cellStyle name="Currency 5 5 2 2 3" xfId="5075" xr:uid="{00000000-0005-0000-0000-0000410D0000}"/>
    <cellStyle name="Currency 5 5 2 2 3 2" xfId="14401" xr:uid="{C86A6CB2-81F8-4278-B65C-105FC07FF0E0}"/>
    <cellStyle name="Currency 5 5 2 2 3 3" xfId="22848" xr:uid="{9CF119EA-F2C9-4D82-A460-D4102019F07F}"/>
    <cellStyle name="Currency 5 5 2 2 4" xfId="9482" xr:uid="{ECEE3E7C-42CD-4A2D-A90F-D54FFBA7E41F}"/>
    <cellStyle name="Currency 5 5 2 2 5" xfId="10184" xr:uid="{23D45AA0-AD60-4073-8D42-8A2214052125}"/>
    <cellStyle name="Currency 5 5 2 2 6" xfId="18631" xr:uid="{256E5980-5D80-4F36-A247-959B450121D2}"/>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A7DDC1B2-04C9-431C-AA84-671C0671E6D5}"/>
    <cellStyle name="Currency 5 5 2 3 2 2 3" xfId="25406" xr:uid="{4229AFBD-EAC5-4AB9-92A1-19A57882224C}"/>
    <cellStyle name="Currency 5 5 2 3 2 3" xfId="12742" xr:uid="{C29B2AFE-6508-4E06-9C48-93D8AB849A67}"/>
    <cellStyle name="Currency 5 5 2 3 2 4" xfId="21189" xr:uid="{EAFD135D-E09D-4E9A-B58F-39EF641C722F}"/>
    <cellStyle name="Currency 5 5 2 3 3" xfId="5488" xr:uid="{00000000-0005-0000-0000-0000450D0000}"/>
    <cellStyle name="Currency 5 5 2 3 3 2" xfId="14814" xr:uid="{86861D2B-B0E1-479D-8675-5474AF79311B}"/>
    <cellStyle name="Currency 5 5 2 3 3 3" xfId="23261" xr:uid="{E9BFA4DC-9CC4-4A91-A083-5961C17153B4}"/>
    <cellStyle name="Currency 5 5 2 3 4" xfId="10597" xr:uid="{D15ADBC5-A4EE-4708-BF69-C265B9C6782B}"/>
    <cellStyle name="Currency 5 5 2 3 5" xfId="19044" xr:uid="{2A396D7C-5A1A-4E94-BAA7-9D3A8DAD8FAE}"/>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1CE2DD12-804A-4900-9F4E-14CB49CCF36E}"/>
    <cellStyle name="Currency 5 5 2 4 2 2 3" xfId="25819" xr:uid="{0020D423-6008-4AF8-9353-887F4829138B}"/>
    <cellStyle name="Currency 5 5 2 4 2 3" xfId="13155" xr:uid="{6F04D414-9AB9-4AB2-88AA-15BBCFEB48C5}"/>
    <cellStyle name="Currency 5 5 2 4 2 4" xfId="21602" xr:uid="{4D38E94F-FCE1-4858-B830-80B571A41010}"/>
    <cellStyle name="Currency 5 5 2 4 3" xfId="5901" xr:uid="{00000000-0005-0000-0000-0000490D0000}"/>
    <cellStyle name="Currency 5 5 2 4 3 2" xfId="15227" xr:uid="{3222920D-7C30-467C-8FA9-0E1F74580627}"/>
    <cellStyle name="Currency 5 5 2 4 3 3" xfId="23674" xr:uid="{49806070-6986-4F4B-87CC-C3C6EFA73782}"/>
    <cellStyle name="Currency 5 5 2 4 4" xfId="11010" xr:uid="{387D36AB-9A93-484D-830A-40BB80774C6F}"/>
    <cellStyle name="Currency 5 5 2 4 5" xfId="19457" xr:uid="{72ADD477-D53D-4A86-86AA-51D3F7AC37A0}"/>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32CD08F4-9021-4714-9C66-1B2AFA8206C7}"/>
    <cellStyle name="Currency 5 5 2 5 2 2 3" xfId="26232" xr:uid="{46131D02-DF42-46BF-99CB-6036C843E7D9}"/>
    <cellStyle name="Currency 5 5 2 5 2 3" xfId="13568" xr:uid="{CB6A00F3-13E8-4CE4-BDA0-F1A2AAAA217E}"/>
    <cellStyle name="Currency 5 5 2 5 2 4" xfId="22015" xr:uid="{C8A1FF5F-23C3-47E8-A6C4-F0C221955EFF}"/>
    <cellStyle name="Currency 5 5 2 5 3" xfId="6314" xr:uid="{00000000-0005-0000-0000-00004D0D0000}"/>
    <cellStyle name="Currency 5 5 2 5 3 2" xfId="15640" xr:uid="{80ED6F45-ECC2-43E4-81BE-7E604EAEECEF}"/>
    <cellStyle name="Currency 5 5 2 5 3 3" xfId="24087" xr:uid="{257C4A2D-1019-4221-A6F0-A9BE666AF781}"/>
    <cellStyle name="Currency 5 5 2 5 4" xfId="11423" xr:uid="{C20DEECA-0644-423A-BE90-895531E3BDAC}"/>
    <cellStyle name="Currency 5 5 2 5 5" xfId="19870" xr:uid="{291364C1-240F-4221-9C46-E5757D0B8199}"/>
    <cellStyle name="Currency 5 5 2 6" xfId="2443" xr:uid="{00000000-0005-0000-0000-00004E0D0000}"/>
    <cellStyle name="Currency 5 5 2 6 2" xfId="6727" xr:uid="{00000000-0005-0000-0000-00004F0D0000}"/>
    <cellStyle name="Currency 5 5 2 6 2 2" xfId="16053" xr:uid="{BFA7B94D-C6B5-4F62-BDDF-2EB400F167FC}"/>
    <cellStyle name="Currency 5 5 2 6 2 3" xfId="24500" xr:uid="{E76E16C4-B46E-4A6A-8115-19A25887D901}"/>
    <cellStyle name="Currency 5 5 2 6 3" xfId="11836" xr:uid="{B201A038-85EA-49F2-93CF-D5C33213B1D7}"/>
    <cellStyle name="Currency 5 5 2 6 4" xfId="20283" xr:uid="{E887DB7B-8B13-4DAC-A030-D3F0D610C1C1}"/>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F4330BCF-26B7-4979-94BD-7478BA3EC66F}"/>
    <cellStyle name="Currency 5 5 2 8 2 3" xfId="24817" xr:uid="{831B05FA-5D11-41B5-BA1A-C5A27DF6B8AC}"/>
    <cellStyle name="Currency 5 5 2 8 3" xfId="12153" xr:uid="{35EA1D36-DF4B-421D-93F3-EC5387CAC5EC}"/>
    <cellStyle name="Currency 5 5 2 8 4" xfId="20600" xr:uid="{7CDA59E4-546A-460B-BC1B-BCBCE1929DA5}"/>
    <cellStyle name="Currency 5 5 2 9" xfId="4661" xr:uid="{00000000-0005-0000-0000-0000530D0000}"/>
    <cellStyle name="Currency 5 5 2 9 2" xfId="13987" xr:uid="{E275FF9B-DB60-4A20-8CCA-C8A9B35294C7}"/>
    <cellStyle name="Currency 5 5 2 9 3" xfId="22434" xr:uid="{35648B26-35C0-493E-B98B-0F6264D3FEFB}"/>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39832E66-EF77-48F3-B8F3-7BB66D21C345}"/>
    <cellStyle name="Currency 5 5 3 2 2 3" xfId="24992" xr:uid="{A9AE5522-9754-4F5B-A205-C3363969CF87}"/>
    <cellStyle name="Currency 5 5 3 2 3" xfId="12328" xr:uid="{66054683-1604-4F26-878D-85082CFFAE9B}"/>
    <cellStyle name="Currency 5 5 3 2 4" xfId="20775" xr:uid="{90B96532-C239-44BF-A63C-19453D36EC79}"/>
    <cellStyle name="Currency 5 5 3 3" xfId="5074" xr:uid="{00000000-0005-0000-0000-0000570D0000}"/>
    <cellStyle name="Currency 5 5 3 3 2" xfId="14400" xr:uid="{DF1E2A6D-A9C8-472B-A570-355FD102DB0B}"/>
    <cellStyle name="Currency 5 5 3 3 3" xfId="22847" xr:uid="{3F80687C-027B-4CEA-AC3E-E64FF1742D73}"/>
    <cellStyle name="Currency 5 5 3 4" xfId="9275" xr:uid="{54783F20-34E5-4A58-80AE-EC7CC69A89C9}"/>
    <cellStyle name="Currency 5 5 3 5" xfId="10183" xr:uid="{59E4686E-5390-4EA2-BF31-58A0B2E7F18A}"/>
    <cellStyle name="Currency 5 5 3 6" xfId="18630" xr:uid="{AB603E98-28DC-4796-9323-B539085CA174}"/>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D6E95058-39A6-410A-8625-548B6BF54826}"/>
    <cellStyle name="Currency 5 5 4 2 2 3" xfId="25405" xr:uid="{6BF2F6F1-3414-4600-855B-96805F05A60D}"/>
    <cellStyle name="Currency 5 5 4 2 3" xfId="12741" xr:uid="{E4620388-B005-4B1B-B9B8-A6C749F9B0FA}"/>
    <cellStyle name="Currency 5 5 4 2 4" xfId="21188" xr:uid="{D2909A33-0723-46B9-870E-A13E64381AAF}"/>
    <cellStyle name="Currency 5 5 4 3" xfId="5487" xr:uid="{00000000-0005-0000-0000-00005B0D0000}"/>
    <cellStyle name="Currency 5 5 4 3 2" xfId="14813" xr:uid="{BD08F50C-659E-42D3-AC22-5E09C8FD3CE1}"/>
    <cellStyle name="Currency 5 5 4 3 3" xfId="23260" xr:uid="{75852415-07F3-47F8-BD27-3AB83F307B72}"/>
    <cellStyle name="Currency 5 5 4 4" xfId="10596" xr:uid="{A17101E4-24C1-4606-A381-B966623CCF04}"/>
    <cellStyle name="Currency 5 5 4 5" xfId="19043" xr:uid="{6D6220C6-AF72-4889-8B71-5B1D2C79307F}"/>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6BFC2852-1491-4D4C-9B56-5E80443B94B6}"/>
    <cellStyle name="Currency 5 5 5 2 2 3" xfId="25818" xr:uid="{98AC8F28-280D-4C52-9E3E-6521158FF5BB}"/>
    <cellStyle name="Currency 5 5 5 2 3" xfId="13154" xr:uid="{42FD75F7-1131-4394-9155-7F9A0DCBC1D8}"/>
    <cellStyle name="Currency 5 5 5 2 4" xfId="21601" xr:uid="{36B7F875-747A-4015-84F5-07A74605F8C6}"/>
    <cellStyle name="Currency 5 5 5 3" xfId="5900" xr:uid="{00000000-0005-0000-0000-00005F0D0000}"/>
    <cellStyle name="Currency 5 5 5 3 2" xfId="15226" xr:uid="{90F5226D-2186-4AF9-84D4-144DAA0B98F4}"/>
    <cellStyle name="Currency 5 5 5 3 3" xfId="23673" xr:uid="{9D67385D-3AF1-4E08-8A2D-8D5A38A93D36}"/>
    <cellStyle name="Currency 5 5 5 4" xfId="11009" xr:uid="{6EF096E2-7C83-47E0-A199-110DF0F298BF}"/>
    <cellStyle name="Currency 5 5 5 5" xfId="19456" xr:uid="{6EBF8BAD-3D0A-4C97-AC31-E4A4981471B5}"/>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DC59ADE9-E283-4E85-8386-0CDF086B0BD5}"/>
    <cellStyle name="Currency 5 5 6 2 2 3" xfId="26231" xr:uid="{A8228111-59E5-4CC5-ACDE-1F220A355817}"/>
    <cellStyle name="Currency 5 5 6 2 3" xfId="13567" xr:uid="{4B774B5F-5473-40BA-8433-99FECF5AB70F}"/>
    <cellStyle name="Currency 5 5 6 2 4" xfId="22014" xr:uid="{0939E3EC-9EAA-431F-AA20-D2BF390A2BCE}"/>
    <cellStyle name="Currency 5 5 6 3" xfId="6313" xr:uid="{00000000-0005-0000-0000-0000630D0000}"/>
    <cellStyle name="Currency 5 5 6 3 2" xfId="15639" xr:uid="{14E86847-BE28-4030-AC89-8CE125372671}"/>
    <cellStyle name="Currency 5 5 6 3 3" xfId="24086" xr:uid="{42C37249-37DA-4C48-8D23-2D70825B82EE}"/>
    <cellStyle name="Currency 5 5 6 4" xfId="11422" xr:uid="{9FC34DC0-5E76-4130-B529-0152D2AB9D2C}"/>
    <cellStyle name="Currency 5 5 6 5" xfId="19869" xr:uid="{064CBCA5-C8DC-4D94-8AC0-D497960BD0DB}"/>
    <cellStyle name="Currency 5 5 7" xfId="2442" xr:uid="{00000000-0005-0000-0000-0000640D0000}"/>
    <cellStyle name="Currency 5 5 7 2" xfId="6726" xr:uid="{00000000-0005-0000-0000-0000650D0000}"/>
    <cellStyle name="Currency 5 5 7 2 2" xfId="16052" xr:uid="{706C7303-8C55-4D10-A831-58584B4BAF7D}"/>
    <cellStyle name="Currency 5 5 7 2 3" xfId="24499" xr:uid="{282F00EE-78C3-48B1-9DE5-9C53214A4C53}"/>
    <cellStyle name="Currency 5 5 7 3" xfId="11835" xr:uid="{7220C2EF-E51D-4131-9A78-39F892AA4261}"/>
    <cellStyle name="Currency 5 5 7 4" xfId="20282" xr:uid="{B13B800B-D2C6-4339-8530-BFD1577D93F2}"/>
    <cellStyle name="Currency 5 5 8" xfId="2739" xr:uid="{00000000-0005-0000-0000-0000660D0000}"/>
    <cellStyle name="Currency 5 5 9" xfId="2820" xr:uid="{00000000-0005-0000-0000-0000670D0000}"/>
    <cellStyle name="Currency 5 5 9 2" xfId="7043" xr:uid="{00000000-0005-0000-0000-0000680D0000}"/>
    <cellStyle name="Currency 5 5 9 2 2" xfId="16369" xr:uid="{32B5C5CD-5E90-4365-8F87-94A2730ECE4B}"/>
    <cellStyle name="Currency 5 5 9 2 3" xfId="24816" xr:uid="{5C3ADCC4-769C-4532-970D-7E11DFD2C936}"/>
    <cellStyle name="Currency 5 5 9 3" xfId="12152" xr:uid="{08063A38-0A7B-41BB-8F94-D8D2BB937D19}"/>
    <cellStyle name="Currency 5 5 9 4" xfId="20599" xr:uid="{A6B04E68-3051-450F-A006-26B7F6EA4800}"/>
    <cellStyle name="Currency 5 6" xfId="221" xr:uid="{00000000-0005-0000-0000-0000690D0000}"/>
    <cellStyle name="Currency 5 6 10" xfId="8966" xr:uid="{EC95BD1E-EAA8-4043-BDA7-06F3BBDBC3D5}"/>
    <cellStyle name="Currency 5 6 11" xfId="9771" xr:uid="{8C6A9B9C-427B-478D-BADA-7096C2ED1687}"/>
    <cellStyle name="Currency 5 6 12" xfId="18218" xr:uid="{D949ABAD-1BD0-46FC-A39A-C06918863889}"/>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42D06EB4-E10C-4B1D-85A1-96926CD61693}"/>
    <cellStyle name="Currency 5 6 2 2 2 3" xfId="24994" xr:uid="{B2B9B994-62F0-47C3-82A6-40679DC2C5FC}"/>
    <cellStyle name="Currency 5 6 2 2 3" xfId="12330" xr:uid="{BF6A6688-B796-426F-86CB-A07C98956822}"/>
    <cellStyle name="Currency 5 6 2 2 4" xfId="20777" xr:uid="{D82025F2-CB8A-47CF-A7AB-073585AC5674}"/>
    <cellStyle name="Currency 5 6 2 3" xfId="5076" xr:uid="{00000000-0005-0000-0000-00006D0D0000}"/>
    <cellStyle name="Currency 5 6 2 3 2" xfId="14402" xr:uid="{25A836F5-CDEA-48B2-8838-53B727582BE1}"/>
    <cellStyle name="Currency 5 6 2 3 3" xfId="22849" xr:uid="{2052EDB8-BF17-43F1-878D-915E517E6CAE}"/>
    <cellStyle name="Currency 5 6 2 4" xfId="9391" xr:uid="{8CBF3F74-51EC-4402-B96A-0759E6537FC7}"/>
    <cellStyle name="Currency 5 6 2 5" xfId="10185" xr:uid="{204DE153-B004-4670-BAB3-03BA160AF1A0}"/>
    <cellStyle name="Currency 5 6 2 6" xfId="18632" xr:uid="{7D244172-6AF3-4E75-9417-097707385EC0}"/>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72E57B16-6F6C-4F38-9B37-385C31C36158}"/>
    <cellStyle name="Currency 5 6 3 2 2 3" xfId="25407" xr:uid="{19261726-B157-4AD4-8ADA-33C2CB92EA01}"/>
    <cellStyle name="Currency 5 6 3 2 3" xfId="12743" xr:uid="{2552A1C1-23F2-4DB3-B04F-43839B4D99CA}"/>
    <cellStyle name="Currency 5 6 3 2 4" xfId="21190" xr:uid="{026D16F9-C29D-4013-882C-37407A0B3594}"/>
    <cellStyle name="Currency 5 6 3 3" xfId="5489" xr:uid="{00000000-0005-0000-0000-0000710D0000}"/>
    <cellStyle name="Currency 5 6 3 3 2" xfId="14815" xr:uid="{F3093A7A-F6F7-45DA-907A-82D0FB61D62B}"/>
    <cellStyle name="Currency 5 6 3 3 3" xfId="23262" xr:uid="{683C7698-89F0-4D30-B6E8-DE731CA1668A}"/>
    <cellStyle name="Currency 5 6 3 4" xfId="10598" xr:uid="{3C134A71-A625-485B-BF12-DA36A9BF8C74}"/>
    <cellStyle name="Currency 5 6 3 5" xfId="19045" xr:uid="{826434F2-ADFB-4CD6-A9B0-752004D9D546}"/>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A151924F-72A6-4BFF-B964-CBDEE92ACCF7}"/>
    <cellStyle name="Currency 5 6 4 2 2 3" xfId="25820" xr:uid="{AEEA029A-A611-4CD1-9884-57F5C6740F4E}"/>
    <cellStyle name="Currency 5 6 4 2 3" xfId="13156" xr:uid="{13DE4AF2-ED35-4A1A-A710-D84F47A53C63}"/>
    <cellStyle name="Currency 5 6 4 2 4" xfId="21603" xr:uid="{B8C0DCAB-727E-4047-BB60-316DC881678C}"/>
    <cellStyle name="Currency 5 6 4 3" xfId="5902" xr:uid="{00000000-0005-0000-0000-0000750D0000}"/>
    <cellStyle name="Currency 5 6 4 3 2" xfId="15228" xr:uid="{63E9FB15-7932-4582-92F7-315FF6FACC08}"/>
    <cellStyle name="Currency 5 6 4 3 3" xfId="23675" xr:uid="{592B32EF-FD41-4559-B131-3B37FE198DF5}"/>
    <cellStyle name="Currency 5 6 4 4" xfId="11011" xr:uid="{E81D5A53-C868-4869-8B99-0E6F6F0BB015}"/>
    <cellStyle name="Currency 5 6 4 5" xfId="19458" xr:uid="{672BAA3C-A3F0-4995-A175-B15C8192D88B}"/>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BA460585-6500-4C2E-8637-30A7B585E3B5}"/>
    <cellStyle name="Currency 5 6 5 2 2 3" xfId="26233" xr:uid="{5C34C153-41A9-4E28-BD47-E1058D3D7A32}"/>
    <cellStyle name="Currency 5 6 5 2 3" xfId="13569" xr:uid="{9152B20C-3944-44BD-9BC0-837A888800CC}"/>
    <cellStyle name="Currency 5 6 5 2 4" xfId="22016" xr:uid="{2FB6A6F2-9E02-4F45-B08D-F3B5E4F765B8}"/>
    <cellStyle name="Currency 5 6 5 3" xfId="6315" xr:uid="{00000000-0005-0000-0000-0000790D0000}"/>
    <cellStyle name="Currency 5 6 5 3 2" xfId="15641" xr:uid="{589FA99B-5802-44F8-BC86-B7AF3BF397B1}"/>
    <cellStyle name="Currency 5 6 5 3 3" xfId="24088" xr:uid="{EC46F1D1-933C-48B6-AC07-F7BE1FA86106}"/>
    <cellStyle name="Currency 5 6 5 4" xfId="11424" xr:uid="{41C0BA2D-86DA-415E-B58D-F91B6AAC7257}"/>
    <cellStyle name="Currency 5 6 5 5" xfId="19871" xr:uid="{AF9593A0-08DA-44F6-B17D-4267D5077FDC}"/>
    <cellStyle name="Currency 5 6 6" xfId="2444" xr:uid="{00000000-0005-0000-0000-00007A0D0000}"/>
    <cellStyle name="Currency 5 6 6 2" xfId="6728" xr:uid="{00000000-0005-0000-0000-00007B0D0000}"/>
    <cellStyle name="Currency 5 6 6 2 2" xfId="16054" xr:uid="{622176EC-7F22-4CEB-BCF0-920CCEBF62D6}"/>
    <cellStyle name="Currency 5 6 6 2 3" xfId="24501" xr:uid="{55B937FE-9292-4D01-AB21-7FAF7D512409}"/>
    <cellStyle name="Currency 5 6 6 3" xfId="11837" xr:uid="{B57BC335-0004-4D6C-8C56-C32B27CD0B49}"/>
    <cellStyle name="Currency 5 6 6 4" xfId="20284" xr:uid="{15E7E434-6AAD-4CF9-B858-5AA21A25C07C}"/>
    <cellStyle name="Currency 5 6 7" xfId="2741" xr:uid="{00000000-0005-0000-0000-00007C0D0000}"/>
    <cellStyle name="Currency 5 6 8" xfId="2822" xr:uid="{00000000-0005-0000-0000-00007D0D0000}"/>
    <cellStyle name="Currency 5 6 8 2" xfId="7045" xr:uid="{00000000-0005-0000-0000-00007E0D0000}"/>
    <cellStyle name="Currency 5 6 8 2 2" xfId="16371" xr:uid="{D913EF75-524A-4F91-8F06-45C75449CD6A}"/>
    <cellStyle name="Currency 5 6 8 2 3" xfId="24818" xr:uid="{47895B8D-A495-4AC8-ADCE-DF3222938673}"/>
    <cellStyle name="Currency 5 6 8 3" xfId="12154" xr:uid="{AE379DC7-6C32-4348-9CA4-924059149DD5}"/>
    <cellStyle name="Currency 5 6 8 4" xfId="20601" xr:uid="{1574F0FC-EA5B-411D-B82B-A2D568EE2A88}"/>
    <cellStyle name="Currency 5 6 9" xfId="4662" xr:uid="{00000000-0005-0000-0000-00007F0D0000}"/>
    <cellStyle name="Currency 5 6 9 2" xfId="13988" xr:uid="{F2507977-0CAD-4A15-95F5-05E78BEB9F29}"/>
    <cellStyle name="Currency 5 6 9 3" xfId="22435" xr:uid="{95B42D20-59D5-412E-AB31-8A1914514970}"/>
    <cellStyle name="Currency 5 7" xfId="222" xr:uid="{00000000-0005-0000-0000-0000800D0000}"/>
    <cellStyle name="Currency 5 7 10" xfId="9169" xr:uid="{7A886DE7-136A-429E-90E2-A7C712D111D8}"/>
    <cellStyle name="Currency 5 7 11" xfId="9772" xr:uid="{9AB8C0EE-4FFF-4561-800B-7C6317598A7A}"/>
    <cellStyle name="Currency 5 7 12" xfId="18219" xr:uid="{E0FA1F0F-C6AF-4540-AEF1-1D23AFD6DDC2}"/>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B683F441-574B-4F95-9A9D-03372641A55C}"/>
    <cellStyle name="Currency 5 7 2 2 2 3" xfId="24995" xr:uid="{F8506550-6FEC-47A0-A5A1-21F1888C13D9}"/>
    <cellStyle name="Currency 5 7 2 2 3" xfId="12331" xr:uid="{52D896E4-7CCE-47A8-A424-F5894B68835D}"/>
    <cellStyle name="Currency 5 7 2 2 4" xfId="20778" xr:uid="{C42EF918-E12B-4488-8AEC-2CF9D0698D70}"/>
    <cellStyle name="Currency 5 7 2 3" xfId="5077" xr:uid="{00000000-0005-0000-0000-0000840D0000}"/>
    <cellStyle name="Currency 5 7 2 3 2" xfId="14403" xr:uid="{48F75EEA-4635-4838-8865-83E109CB16CC}"/>
    <cellStyle name="Currency 5 7 2 3 3" xfId="22850" xr:uid="{A079D602-C592-460F-B954-CD410BBD3FE6}"/>
    <cellStyle name="Currency 5 7 2 4" xfId="9601" xr:uid="{DC93A830-0AF1-4EC4-B764-C728922F3FEF}"/>
    <cellStyle name="Currency 5 7 2 5" xfId="10186" xr:uid="{0B388D7C-436D-4383-AE4C-31A6615701C5}"/>
    <cellStyle name="Currency 5 7 2 6" xfId="18633" xr:uid="{2C4D1514-1B5A-4722-AED4-560FC701E9A8}"/>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79F90416-88E8-479E-9FAC-556E38258217}"/>
    <cellStyle name="Currency 5 7 3 2 2 3" xfId="25408" xr:uid="{80B52A6F-9EA3-41C2-8662-8B670E492AE8}"/>
    <cellStyle name="Currency 5 7 3 2 3" xfId="12744" xr:uid="{3E9237B4-53E7-482D-AD3C-594D3E5C3EBC}"/>
    <cellStyle name="Currency 5 7 3 2 4" xfId="21191" xr:uid="{DC9B1931-AB09-4A61-B918-68EF5F95ED27}"/>
    <cellStyle name="Currency 5 7 3 3" xfId="5490" xr:uid="{00000000-0005-0000-0000-0000880D0000}"/>
    <cellStyle name="Currency 5 7 3 3 2" xfId="14816" xr:uid="{261224ED-261E-4FF5-8901-B48E6C171B61}"/>
    <cellStyle name="Currency 5 7 3 3 3" xfId="23263" xr:uid="{44EB244E-A1D8-477E-8F60-A4B6C799CE23}"/>
    <cellStyle name="Currency 5 7 3 4" xfId="10599" xr:uid="{A7DDD70B-6E6A-44A7-BEC4-D83957993E85}"/>
    <cellStyle name="Currency 5 7 3 5" xfId="19046" xr:uid="{A500C64B-D934-4D74-9BB0-9E01C0687448}"/>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114CEEE7-CF6F-4438-BF07-FE53E3188F22}"/>
    <cellStyle name="Currency 5 7 4 2 2 3" xfId="25821" xr:uid="{97FA65BC-9601-43AF-8389-4DE25EB4C5F0}"/>
    <cellStyle name="Currency 5 7 4 2 3" xfId="13157" xr:uid="{44C464F2-616A-4479-88F3-F8D43CF9B40E}"/>
    <cellStyle name="Currency 5 7 4 2 4" xfId="21604" xr:uid="{510475A2-3337-4387-AB46-3C0C8B4FDEED}"/>
    <cellStyle name="Currency 5 7 4 3" xfId="5903" xr:uid="{00000000-0005-0000-0000-00008C0D0000}"/>
    <cellStyle name="Currency 5 7 4 3 2" xfId="15229" xr:uid="{31D9B7AA-2190-4914-92FF-83992005357E}"/>
    <cellStyle name="Currency 5 7 4 3 3" xfId="23676" xr:uid="{6E59A162-7FF1-4CF3-81B6-13EA55FE00F4}"/>
    <cellStyle name="Currency 5 7 4 4" xfId="11012" xr:uid="{CD972E9E-3271-4D9D-B7C1-E6DD8F528913}"/>
    <cellStyle name="Currency 5 7 4 5" xfId="19459" xr:uid="{CE8562D0-4D39-4A00-A037-C81CC2F7F366}"/>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21AC597F-BBA9-4076-8C3A-396B020B4441}"/>
    <cellStyle name="Currency 5 7 5 2 2 3" xfId="26234" xr:uid="{E976569F-AC9E-495F-B00B-22E5730B403F}"/>
    <cellStyle name="Currency 5 7 5 2 3" xfId="13570" xr:uid="{DB0ED634-0498-4B4C-9BA0-620E7FC93207}"/>
    <cellStyle name="Currency 5 7 5 2 4" xfId="22017" xr:uid="{AAADAD9C-3BDC-46B2-A66B-42E92C3FB6CC}"/>
    <cellStyle name="Currency 5 7 5 3" xfId="6316" xr:uid="{00000000-0005-0000-0000-0000900D0000}"/>
    <cellStyle name="Currency 5 7 5 3 2" xfId="15642" xr:uid="{FCAC6E41-BE56-4258-A263-F8D0CFF040A5}"/>
    <cellStyle name="Currency 5 7 5 3 3" xfId="24089" xr:uid="{40FBE2F7-C3E3-462F-A745-271AB38C15E8}"/>
    <cellStyle name="Currency 5 7 5 4" xfId="11425" xr:uid="{BA13E702-0C57-462E-8514-9FBDB619FD4E}"/>
    <cellStyle name="Currency 5 7 5 5" xfId="19872" xr:uid="{5411BF3B-5E86-4DA6-963D-658147542BE5}"/>
    <cellStyle name="Currency 5 7 6" xfId="2445" xr:uid="{00000000-0005-0000-0000-0000910D0000}"/>
    <cellStyle name="Currency 5 7 6 2" xfId="6729" xr:uid="{00000000-0005-0000-0000-0000920D0000}"/>
    <cellStyle name="Currency 5 7 6 2 2" xfId="16055" xr:uid="{1FBFE796-BC82-4109-8F82-83E77D8329A6}"/>
    <cellStyle name="Currency 5 7 6 2 3" xfId="24502" xr:uid="{66BFBE83-6627-4640-83C1-80F7F46BF1B9}"/>
    <cellStyle name="Currency 5 7 6 3" xfId="11838" xr:uid="{0733773E-7315-49E9-8B39-47F8E9FF5ED8}"/>
    <cellStyle name="Currency 5 7 6 4" xfId="20285" xr:uid="{BA9A0037-AEB7-46F6-B038-2F6E9EAA9DDE}"/>
    <cellStyle name="Currency 5 7 7" xfId="2742" xr:uid="{00000000-0005-0000-0000-0000930D0000}"/>
    <cellStyle name="Currency 5 7 8" xfId="2823" xr:uid="{00000000-0005-0000-0000-0000940D0000}"/>
    <cellStyle name="Currency 5 7 8 2" xfId="7046" xr:uid="{00000000-0005-0000-0000-0000950D0000}"/>
    <cellStyle name="Currency 5 7 8 2 2" xfId="16372" xr:uid="{6790826F-44B8-42DD-9A49-432BBDD2CB82}"/>
    <cellStyle name="Currency 5 7 8 2 3" xfId="24819" xr:uid="{FCB734CB-0343-426A-ACB4-8445E90FD43C}"/>
    <cellStyle name="Currency 5 7 8 3" xfId="12155" xr:uid="{DA678A81-9DB2-4E32-A57D-C19C4888FB8F}"/>
    <cellStyle name="Currency 5 7 8 4" xfId="20602" xr:uid="{704B49E4-0F03-45BD-98E3-678C584BCC32}"/>
    <cellStyle name="Currency 5 7 9" xfId="4663" xr:uid="{00000000-0005-0000-0000-0000960D0000}"/>
    <cellStyle name="Currency 5 7 9 2" xfId="13989" xr:uid="{E4B19356-E694-4CE5-8F55-9B6F74FFC4D0}"/>
    <cellStyle name="Currency 5 7 9 3" xfId="22436" xr:uid="{2139190D-0C2E-43AE-B09E-BEDF9646D2F1}"/>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A0188734-6565-43EA-8D84-33B2B04DE765}"/>
    <cellStyle name="Normal 12 10 2 3" xfId="24503" xr:uid="{FFFA2E25-8BA8-44C1-9570-15905619120E}"/>
    <cellStyle name="Normal 12 10 3" xfId="11839" xr:uid="{C12A69B0-3C27-40AA-A9A0-80B5DC7B13CC}"/>
    <cellStyle name="Normal 12 10 4" xfId="20286" xr:uid="{FE55ECA1-665E-435E-961F-E0FBBC1A3FE5}"/>
    <cellStyle name="Normal 12 11" xfId="4664" xr:uid="{00000000-0005-0000-0000-0000CC0D0000}"/>
    <cellStyle name="Normal 12 11 2" xfId="13990" xr:uid="{C4151168-38D8-41F1-A1A3-06635487BF5D}"/>
    <cellStyle name="Normal 12 11 3" xfId="22437" xr:uid="{2EEE3C9F-F4EF-4C7E-AA06-FE9F18652C27}"/>
    <cellStyle name="Normal 12 12" xfId="8770" xr:uid="{16E7F001-A88D-4413-825E-78352A31064A}"/>
    <cellStyle name="Normal 12 13" xfId="9773" xr:uid="{2BF4765E-DE1D-47B2-8D00-A5F68C05349A}"/>
    <cellStyle name="Normal 12 14" xfId="18220" xr:uid="{12B44EA0-B79E-46BA-88DE-62330347131D}"/>
    <cellStyle name="Normal 12 2" xfId="260" xr:uid="{00000000-0005-0000-0000-0000CD0D0000}"/>
    <cellStyle name="Normal 12 2 10" xfId="8811" xr:uid="{C610EFA7-DF28-475D-A7AA-61B6675A083B}"/>
    <cellStyle name="Normal 12 2 11" xfId="9774" xr:uid="{787EF05B-87F2-4107-9048-D7A49EF4B31D}"/>
    <cellStyle name="Normal 12 2 12" xfId="18221" xr:uid="{8D3ADA69-9ACC-4F8A-9C8F-266620C2E1C5}"/>
    <cellStyle name="Normal 12 2 2" xfId="261" xr:uid="{00000000-0005-0000-0000-0000CE0D0000}"/>
    <cellStyle name="Normal 12 2 2 10" xfId="9775" xr:uid="{AB7E32A6-9BC7-4933-B801-1D13CDEF67D6}"/>
    <cellStyle name="Normal 12 2 2 11" xfId="18222" xr:uid="{F27A3411-AE2D-4E0E-B36F-EFC90C1A2A96}"/>
    <cellStyle name="Normal 12 2 2 2" xfId="262" xr:uid="{00000000-0005-0000-0000-0000CF0D0000}"/>
    <cellStyle name="Normal 12 2 2 2 10" xfId="18223" xr:uid="{B1083499-2FE0-4C93-AB74-1F5EF5922BA9}"/>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5051D188-1716-4EC2-99D4-3D8EC101D590}"/>
    <cellStyle name="Normal 12 2 2 2 2 2 2 3" xfId="24999" xr:uid="{5D2AFA6A-34EC-4F07-9E14-D798527D0EA8}"/>
    <cellStyle name="Normal 12 2 2 2 2 2 3" xfId="12335" xr:uid="{BFABC539-619A-431D-ABB0-5D33B4CA3947}"/>
    <cellStyle name="Normal 12 2 2 2 2 2 4" xfId="20782" xr:uid="{6963E3B4-698A-449E-841B-D3D99CF8ECD1}"/>
    <cellStyle name="Normal 12 2 2 2 2 3" xfId="5081" xr:uid="{00000000-0005-0000-0000-0000D30D0000}"/>
    <cellStyle name="Normal 12 2 2 2 2 3 2" xfId="14407" xr:uid="{1A8ADF4B-3ABF-4648-B05B-E31AFD7BA085}"/>
    <cellStyle name="Normal 12 2 2 2 2 3 3" xfId="22854" xr:uid="{3EA8BDD1-FF81-428A-A3E9-03BC8F6C1957}"/>
    <cellStyle name="Normal 12 2 2 2 2 4" xfId="9546" xr:uid="{609DE280-4DA3-4355-9F1C-9E01708347EA}"/>
    <cellStyle name="Normal 12 2 2 2 2 5" xfId="10190" xr:uid="{46E228B8-5103-4449-BF68-C505D8DEE3FB}"/>
    <cellStyle name="Normal 12 2 2 2 2 6" xfId="18637" xr:uid="{2B4373E5-4879-4227-BCD3-0D3C63ABC744}"/>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B167942B-19D2-4E0C-A572-C6BCCA84194C}"/>
    <cellStyle name="Normal 12 2 2 2 3 2 2 3" xfId="25412" xr:uid="{68319FD7-C42D-45BD-8A19-9C99B32A9D5E}"/>
    <cellStyle name="Normal 12 2 2 2 3 2 3" xfId="12748" xr:uid="{966341CE-6E8A-4AFB-9E84-C28572596306}"/>
    <cellStyle name="Normal 12 2 2 2 3 2 4" xfId="21195" xr:uid="{6EFF3C78-2490-418D-9477-89069FA9C0AC}"/>
    <cellStyle name="Normal 12 2 2 2 3 3" xfId="5494" xr:uid="{00000000-0005-0000-0000-0000D70D0000}"/>
    <cellStyle name="Normal 12 2 2 2 3 3 2" xfId="14820" xr:uid="{60290C09-77C2-4822-AF85-AE897720214B}"/>
    <cellStyle name="Normal 12 2 2 2 3 3 3" xfId="23267" xr:uid="{90EC97CF-37B1-46B2-AD59-A4C33F2A812D}"/>
    <cellStyle name="Normal 12 2 2 2 3 4" xfId="10603" xr:uid="{CFE87789-7B6E-4FE5-B4B9-FF6FA7E0F94A}"/>
    <cellStyle name="Normal 12 2 2 2 3 5" xfId="19050" xr:uid="{18D82501-D9E2-4175-9A42-E4813C269072}"/>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DC027AFF-EAB0-4902-A0F9-E00F120F52E9}"/>
    <cellStyle name="Normal 12 2 2 2 4 2 2 3" xfId="25825" xr:uid="{640B406B-5784-43FB-9001-B127A396B9AF}"/>
    <cellStyle name="Normal 12 2 2 2 4 2 3" xfId="13161" xr:uid="{689ADB33-F420-445B-9179-54B814542132}"/>
    <cellStyle name="Normal 12 2 2 2 4 2 4" xfId="21608" xr:uid="{F2E576E7-A3F4-47C0-9179-065A2C9CDC70}"/>
    <cellStyle name="Normal 12 2 2 2 4 3" xfId="5907" xr:uid="{00000000-0005-0000-0000-0000DB0D0000}"/>
    <cellStyle name="Normal 12 2 2 2 4 3 2" xfId="15233" xr:uid="{436F3A3D-5ECD-40AD-99FB-D5567BAA1FC4}"/>
    <cellStyle name="Normal 12 2 2 2 4 3 3" xfId="23680" xr:uid="{978E3702-34C8-4ADE-9A5B-E435344547CA}"/>
    <cellStyle name="Normal 12 2 2 2 4 4" xfId="11016" xr:uid="{89EB3966-E1D9-4D61-BE08-97998D697156}"/>
    <cellStyle name="Normal 12 2 2 2 4 5" xfId="19463" xr:uid="{029D1C61-8057-46B3-A690-250AB5745212}"/>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A3191E94-AB30-43A6-82DC-06907989AD30}"/>
    <cellStyle name="Normal 12 2 2 2 5 2 2 3" xfId="26238" xr:uid="{68CE24E6-AC0A-49EC-B475-4B0081118F51}"/>
    <cellStyle name="Normal 12 2 2 2 5 2 3" xfId="13574" xr:uid="{1737D26D-8810-4159-948C-7AD45EB959A0}"/>
    <cellStyle name="Normal 12 2 2 2 5 2 4" xfId="22021" xr:uid="{DBA6344F-D65E-43BD-943C-E93995266384}"/>
    <cellStyle name="Normal 12 2 2 2 5 3" xfId="6320" xr:uid="{00000000-0005-0000-0000-0000DF0D0000}"/>
    <cellStyle name="Normal 12 2 2 2 5 3 2" xfId="15646" xr:uid="{A4C61063-E47C-4134-9F38-8791E0116E81}"/>
    <cellStyle name="Normal 12 2 2 2 5 3 3" xfId="24093" xr:uid="{77EF06E9-8CCF-481D-88B9-4C6863D03D5C}"/>
    <cellStyle name="Normal 12 2 2 2 5 4" xfId="11429" xr:uid="{B437D3B0-48AE-417F-97DA-9356B737A3B1}"/>
    <cellStyle name="Normal 12 2 2 2 5 5" xfId="19876" xr:uid="{D4B81D7B-5C6C-4D05-B5B2-5B95D5AADBD3}"/>
    <cellStyle name="Normal 12 2 2 2 6" xfId="2450" xr:uid="{00000000-0005-0000-0000-0000E00D0000}"/>
    <cellStyle name="Normal 12 2 2 2 6 2" xfId="6733" xr:uid="{00000000-0005-0000-0000-0000E10D0000}"/>
    <cellStyle name="Normal 12 2 2 2 6 2 2" xfId="16059" xr:uid="{C4112FB6-08BA-4DCD-9241-10F1797BE008}"/>
    <cellStyle name="Normal 12 2 2 2 6 2 3" xfId="24506" xr:uid="{10346FAF-FA82-4DF5-93E3-9E917768626E}"/>
    <cellStyle name="Normal 12 2 2 2 6 3" xfId="11842" xr:uid="{1F52F923-7394-4556-A3B6-B057216ECC5E}"/>
    <cellStyle name="Normal 12 2 2 2 6 4" xfId="20289" xr:uid="{56113A31-03CE-4939-BA69-E9FFF81CF1FD}"/>
    <cellStyle name="Normal 12 2 2 2 7" xfId="4667" xr:uid="{00000000-0005-0000-0000-0000E20D0000}"/>
    <cellStyle name="Normal 12 2 2 2 7 2" xfId="13993" xr:uid="{83531F1A-2CA4-4703-93D7-250C50342D6A}"/>
    <cellStyle name="Normal 12 2 2 2 7 3" xfId="22440" xr:uid="{D62EF5AB-3CFA-425A-BA62-F81A51DBB4CF}"/>
    <cellStyle name="Normal 12 2 2 2 8" xfId="9121" xr:uid="{527C15BB-BE4D-46AB-9317-CC8E6838C91D}"/>
    <cellStyle name="Normal 12 2 2 2 9" xfId="9776" xr:uid="{A1A1ACC9-6DC2-4CB8-8B6E-07ADD2CE3898}"/>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2FBF33FE-9321-49F6-9DEB-68F050E55DDC}"/>
    <cellStyle name="Normal 12 2 2 3 2 2 3" xfId="24998" xr:uid="{A17D917A-EC7D-4537-84DD-83B6ADDBF62C}"/>
    <cellStyle name="Normal 12 2 2 3 2 3" xfId="12334" xr:uid="{988518BE-19FE-42D1-BCE0-DDB2A70A209C}"/>
    <cellStyle name="Normal 12 2 2 3 2 4" xfId="20781" xr:uid="{50429DAD-277F-4F19-B01D-3458754CD50F}"/>
    <cellStyle name="Normal 12 2 2 3 3" xfId="5080" xr:uid="{00000000-0005-0000-0000-0000E60D0000}"/>
    <cellStyle name="Normal 12 2 2 3 3 2" xfId="14406" xr:uid="{08B6D75F-01DB-41A0-80A1-F07BD88A9FF7}"/>
    <cellStyle name="Normal 12 2 2 3 3 3" xfId="22853" xr:uid="{C33F1A86-ECAC-4B83-B0D0-BEAE544C83CC}"/>
    <cellStyle name="Normal 12 2 2 3 4" xfId="9339" xr:uid="{F3F800C1-92DF-4F1F-A561-C3F3C7F8BAD1}"/>
    <cellStyle name="Normal 12 2 2 3 5" xfId="10189" xr:uid="{D6165743-FF65-4802-9440-CB3AE2D2AAB9}"/>
    <cellStyle name="Normal 12 2 2 3 6" xfId="18636" xr:uid="{C1F8D011-B797-47F3-8EEB-764F635C02E0}"/>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2273FBA1-C79A-4383-B54C-7849A43B0A82}"/>
    <cellStyle name="Normal 12 2 2 4 2 2 3" xfId="25411" xr:uid="{E32D99CA-C317-499C-A7F7-2AD585A50DB5}"/>
    <cellStyle name="Normal 12 2 2 4 2 3" xfId="12747" xr:uid="{9284D5A8-FE75-448F-892E-6394AD98C000}"/>
    <cellStyle name="Normal 12 2 2 4 2 4" xfId="21194" xr:uid="{882E8B8D-C5A0-4F76-992D-C243190C1786}"/>
    <cellStyle name="Normal 12 2 2 4 3" xfId="5493" xr:uid="{00000000-0005-0000-0000-0000EA0D0000}"/>
    <cellStyle name="Normal 12 2 2 4 3 2" xfId="14819" xr:uid="{2DA473AD-1972-424F-BD75-85897DFA295D}"/>
    <cellStyle name="Normal 12 2 2 4 3 3" xfId="23266" xr:uid="{F4890E6A-A490-4A76-90F8-6296C1BDB2F6}"/>
    <cellStyle name="Normal 12 2 2 4 4" xfId="10602" xr:uid="{2933187D-F110-4234-B871-9664C567952D}"/>
    <cellStyle name="Normal 12 2 2 4 5" xfId="19049" xr:uid="{86E71428-9FC0-4BC9-9220-5D1076C2B0D9}"/>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451C1224-2520-4A8A-AAAB-C73E37460CB1}"/>
    <cellStyle name="Normal 12 2 2 5 2 2 3" xfId="25824" xr:uid="{AD992415-A4CE-415B-A5F4-3D3B81A4CBB4}"/>
    <cellStyle name="Normal 12 2 2 5 2 3" xfId="13160" xr:uid="{E177E2C1-A6DF-4E90-BD24-E5C4F1A03F6A}"/>
    <cellStyle name="Normal 12 2 2 5 2 4" xfId="21607" xr:uid="{E9904C61-601D-499E-AAAE-1F8A43B4727A}"/>
    <cellStyle name="Normal 12 2 2 5 3" xfId="5906" xr:uid="{00000000-0005-0000-0000-0000EE0D0000}"/>
    <cellStyle name="Normal 12 2 2 5 3 2" xfId="15232" xr:uid="{D45114C0-C7E8-4412-BF89-9961C004DA11}"/>
    <cellStyle name="Normal 12 2 2 5 3 3" xfId="23679" xr:uid="{03E027CC-6C81-4EC8-B986-508D58855AD6}"/>
    <cellStyle name="Normal 12 2 2 5 4" xfId="11015" xr:uid="{70B5EB79-EC3A-4DB5-BABE-F0A354426CCF}"/>
    <cellStyle name="Normal 12 2 2 5 5" xfId="19462" xr:uid="{62AA633F-06FC-425A-8ECA-BE06E866D542}"/>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CD5889FB-3C9B-4BA9-BB21-9890941D6982}"/>
    <cellStyle name="Normal 12 2 2 6 2 2 3" xfId="26237" xr:uid="{913D84BA-C5E0-4ADB-95C6-9C5C001B927A}"/>
    <cellStyle name="Normal 12 2 2 6 2 3" xfId="13573" xr:uid="{DB0172E9-9C73-4CEC-A885-FDA5656AF8CE}"/>
    <cellStyle name="Normal 12 2 2 6 2 4" xfId="22020" xr:uid="{FE963D04-2F11-4009-98AE-FFC5B23234D9}"/>
    <cellStyle name="Normal 12 2 2 6 3" xfId="6319" xr:uid="{00000000-0005-0000-0000-0000F20D0000}"/>
    <cellStyle name="Normal 12 2 2 6 3 2" xfId="15645" xr:uid="{8A615E59-3CFE-4DB7-B205-BF0CFA2D2FC0}"/>
    <cellStyle name="Normal 12 2 2 6 3 3" xfId="24092" xr:uid="{023F3B76-E6B7-4853-9941-01A54C755D84}"/>
    <cellStyle name="Normal 12 2 2 6 4" xfId="11428" xr:uid="{CA0192D9-5B65-400F-B5B3-1B5CF7084A4B}"/>
    <cellStyle name="Normal 12 2 2 6 5" xfId="19875" xr:uid="{EBEA8B9A-7660-4394-B843-2B332AFB181C}"/>
    <cellStyle name="Normal 12 2 2 7" xfId="2449" xr:uid="{00000000-0005-0000-0000-0000F30D0000}"/>
    <cellStyle name="Normal 12 2 2 7 2" xfId="6732" xr:uid="{00000000-0005-0000-0000-0000F40D0000}"/>
    <cellStyle name="Normal 12 2 2 7 2 2" xfId="16058" xr:uid="{FA993B20-EAC3-425A-8957-C8B56DC09DAC}"/>
    <cellStyle name="Normal 12 2 2 7 2 3" xfId="24505" xr:uid="{A0C87BED-B785-42A8-A5F4-9A85CE504B35}"/>
    <cellStyle name="Normal 12 2 2 7 3" xfId="11841" xr:uid="{7D372D7A-6EA7-4C88-BB21-886CE9DBF881}"/>
    <cellStyle name="Normal 12 2 2 7 4" xfId="20288" xr:uid="{40A14809-F31B-4CE9-AFA0-A93D4E193A31}"/>
    <cellStyle name="Normal 12 2 2 8" xfId="4666" xr:uid="{00000000-0005-0000-0000-0000F50D0000}"/>
    <cellStyle name="Normal 12 2 2 8 2" xfId="13992" xr:uid="{488A7A68-61D3-473C-96D8-3E4E5C76CB00}"/>
    <cellStyle name="Normal 12 2 2 8 3" xfId="22439" xr:uid="{AE9B0FD1-BFD7-4E7A-8E9C-C6AFE8DF8BED}"/>
    <cellStyle name="Normal 12 2 2 9" xfId="8914" xr:uid="{85903DBC-FA0A-4A9D-9FB4-BA36A4B6F510}"/>
    <cellStyle name="Normal 12 2 3" xfId="263" xr:uid="{00000000-0005-0000-0000-0000F60D0000}"/>
    <cellStyle name="Normal 12 2 3 10" xfId="18224" xr:uid="{28AD2DBA-C8DA-41D8-896C-C28DC69D9D4A}"/>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8444D8A9-782C-4767-9A0D-919090601660}"/>
    <cellStyle name="Normal 12 2 3 2 2 2 3" xfId="25000" xr:uid="{2FF9AFF2-9238-410F-891E-A15AED93A0F3}"/>
    <cellStyle name="Normal 12 2 3 2 2 3" xfId="12336" xr:uid="{BDDE79F6-1855-4EDF-9FDB-D9FEF96E8E58}"/>
    <cellStyle name="Normal 12 2 3 2 2 4" xfId="20783" xr:uid="{70ADDFBB-5FBA-41AB-9EAD-FFD5ADDC6345}"/>
    <cellStyle name="Normal 12 2 3 2 3" xfId="5082" xr:uid="{00000000-0005-0000-0000-0000FA0D0000}"/>
    <cellStyle name="Normal 12 2 3 2 3 2" xfId="14408" xr:uid="{3998001B-366A-4090-831C-DF83EF17A9A8}"/>
    <cellStyle name="Normal 12 2 3 2 3 3" xfId="22855" xr:uid="{AFADFA7B-B044-4FE4-AED7-95D31A424DD8}"/>
    <cellStyle name="Normal 12 2 3 2 4" xfId="9443" xr:uid="{61F0A971-1285-4215-8170-49D07520551A}"/>
    <cellStyle name="Normal 12 2 3 2 5" xfId="10191" xr:uid="{B0C0C595-3C39-4CE4-96F7-387EF8B84621}"/>
    <cellStyle name="Normal 12 2 3 2 6" xfId="18638" xr:uid="{4E7D3ADE-F3FF-48BF-95D3-E09DAD3DEA34}"/>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83E2BEC4-19DE-4B3D-B913-C9148EEA27D6}"/>
    <cellStyle name="Normal 12 2 3 3 2 2 3" xfId="25413" xr:uid="{4CF092A1-413F-4756-854C-46A56AAA4C07}"/>
    <cellStyle name="Normal 12 2 3 3 2 3" xfId="12749" xr:uid="{D4ECC4EC-AF34-4787-97A2-6AA282DF968D}"/>
    <cellStyle name="Normal 12 2 3 3 2 4" xfId="21196" xr:uid="{7D667EE9-B4EB-4F9E-BF0D-D7274934D1E7}"/>
    <cellStyle name="Normal 12 2 3 3 3" xfId="5495" xr:uid="{00000000-0005-0000-0000-0000FE0D0000}"/>
    <cellStyle name="Normal 12 2 3 3 3 2" xfId="14821" xr:uid="{C9C7547B-F532-474C-AA18-507FBC6303A8}"/>
    <cellStyle name="Normal 12 2 3 3 3 3" xfId="23268" xr:uid="{769FDBFB-7644-43E4-9E35-175D90358578}"/>
    <cellStyle name="Normal 12 2 3 3 4" xfId="10604" xr:uid="{277BA41A-38A1-437F-96C3-368A5175F3F1}"/>
    <cellStyle name="Normal 12 2 3 3 5" xfId="19051" xr:uid="{E2888894-8518-4194-8DF0-FA74A2A7ACEA}"/>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72A7AC36-A318-46DF-B051-E4CD6D4C4FCA}"/>
    <cellStyle name="Normal 12 2 3 4 2 2 3" xfId="25826" xr:uid="{A5F4DBF0-6C47-4045-8F8E-5AA123AAE6A8}"/>
    <cellStyle name="Normal 12 2 3 4 2 3" xfId="13162" xr:uid="{7F6A8806-4F59-4D89-A169-B12555B405C3}"/>
    <cellStyle name="Normal 12 2 3 4 2 4" xfId="21609" xr:uid="{FDCF6046-34CC-4B10-A5BA-87B4A0D9B9AA}"/>
    <cellStyle name="Normal 12 2 3 4 3" xfId="5908" xr:uid="{00000000-0005-0000-0000-0000020E0000}"/>
    <cellStyle name="Normal 12 2 3 4 3 2" xfId="15234" xr:uid="{EAE88EE3-04E2-412F-A32B-290B5B2B8AC9}"/>
    <cellStyle name="Normal 12 2 3 4 3 3" xfId="23681" xr:uid="{9FF5C495-F1D9-4D9C-9D5F-31574EA1068B}"/>
    <cellStyle name="Normal 12 2 3 4 4" xfId="11017" xr:uid="{A6E07B76-69E3-4DD0-8387-3418D9D58FE6}"/>
    <cellStyle name="Normal 12 2 3 4 5" xfId="19464" xr:uid="{CE6EEB15-9604-42F6-8708-4B2FBFFA9BF1}"/>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859A7FA8-1199-465D-8317-DDAC7F884CA4}"/>
    <cellStyle name="Normal 12 2 3 5 2 2 3" xfId="26239" xr:uid="{4CE16DE5-23C4-4986-9259-51F3A20691C0}"/>
    <cellStyle name="Normal 12 2 3 5 2 3" xfId="13575" xr:uid="{6BD20124-17E6-4625-9023-9EE1FB2B2461}"/>
    <cellStyle name="Normal 12 2 3 5 2 4" xfId="22022" xr:uid="{BA9020C7-491A-4280-93EC-0C5F9D813D5A}"/>
    <cellStyle name="Normal 12 2 3 5 3" xfId="6321" xr:uid="{00000000-0005-0000-0000-0000060E0000}"/>
    <cellStyle name="Normal 12 2 3 5 3 2" xfId="15647" xr:uid="{0890F611-17A1-48A6-815D-1B290E0359FC}"/>
    <cellStyle name="Normal 12 2 3 5 3 3" xfId="24094" xr:uid="{42E6ADB3-05AA-4F17-8D66-B63C6B74BB82}"/>
    <cellStyle name="Normal 12 2 3 5 4" xfId="11430" xr:uid="{CAB637E5-A78E-441E-9A95-5E633BF6570B}"/>
    <cellStyle name="Normal 12 2 3 5 5" xfId="19877" xr:uid="{441E793B-0046-43D4-957E-AFA6E99A90CB}"/>
    <cellStyle name="Normal 12 2 3 6" xfId="2451" xr:uid="{00000000-0005-0000-0000-0000070E0000}"/>
    <cellStyle name="Normal 12 2 3 6 2" xfId="6734" xr:uid="{00000000-0005-0000-0000-0000080E0000}"/>
    <cellStyle name="Normal 12 2 3 6 2 2" xfId="16060" xr:uid="{5B494BDC-A9E2-415A-B3A6-80592DB14EE1}"/>
    <cellStyle name="Normal 12 2 3 6 2 3" xfId="24507" xr:uid="{3E38837E-D174-4738-B60C-551327E467A7}"/>
    <cellStyle name="Normal 12 2 3 6 3" xfId="11843" xr:uid="{BF93C14B-69C3-4D20-ABE0-F523C9D76D96}"/>
    <cellStyle name="Normal 12 2 3 6 4" xfId="20290" xr:uid="{BE187DBF-7AF9-431B-BEDF-546C51FDC693}"/>
    <cellStyle name="Normal 12 2 3 7" xfId="4668" xr:uid="{00000000-0005-0000-0000-0000090E0000}"/>
    <cellStyle name="Normal 12 2 3 7 2" xfId="13994" xr:uid="{C70C495D-2291-42D9-8C16-77E7826FB789}"/>
    <cellStyle name="Normal 12 2 3 7 3" xfId="22441" xr:uid="{7371B84B-8C9C-489B-8E4C-F6E648885A3E}"/>
    <cellStyle name="Normal 12 2 3 8" xfId="9018" xr:uid="{C3F41DC6-3A80-4145-A68D-169ABB54B6D0}"/>
    <cellStyle name="Normal 12 2 3 9" xfId="9777" xr:uid="{16BCA306-B18E-4D26-A130-B0F6BDDC212A}"/>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A4AD9878-7CA7-4F46-86EB-C775192557B9}"/>
    <cellStyle name="Normal 12 2 4 2 2 3" xfId="24997" xr:uid="{90151124-E613-441E-9710-DDDB1ABF78AE}"/>
    <cellStyle name="Normal 12 2 4 2 3" xfId="12333" xr:uid="{378550B0-AA6F-499B-8965-42F18B16C115}"/>
    <cellStyle name="Normal 12 2 4 2 4" xfId="20780" xr:uid="{4228557C-D86E-41E8-A1B0-28A0A282813E}"/>
    <cellStyle name="Normal 12 2 4 3" xfId="5079" xr:uid="{00000000-0005-0000-0000-00000D0E0000}"/>
    <cellStyle name="Normal 12 2 4 3 2" xfId="14405" xr:uid="{9AF46C00-0F25-4145-9945-90B91EDDE942}"/>
    <cellStyle name="Normal 12 2 4 3 3" xfId="22852" xr:uid="{4512B898-F7DF-4A9F-B570-09EC967E785F}"/>
    <cellStyle name="Normal 12 2 4 4" xfId="9236" xr:uid="{C3D0196D-4BB3-4870-9762-A3CF40E5B45B}"/>
    <cellStyle name="Normal 12 2 4 5" xfId="10188" xr:uid="{25443323-C7D9-471E-90C7-23586114F4E8}"/>
    <cellStyle name="Normal 12 2 4 6" xfId="18635" xr:uid="{C41353E9-EB8F-4816-9120-B05C35B6C981}"/>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9693D81C-CF6E-4AEA-8469-30AA6F5F2574}"/>
    <cellStyle name="Normal 12 2 5 2 2 3" xfId="25410" xr:uid="{72D2CD79-F06C-4690-B4C7-C854011F3F35}"/>
    <cellStyle name="Normal 12 2 5 2 3" xfId="12746" xr:uid="{E7E70B55-4206-478C-8071-BD7EE139D6F1}"/>
    <cellStyle name="Normal 12 2 5 2 4" xfId="21193" xr:uid="{D6544DC6-7671-4F6F-8AC0-4F0D323D42CA}"/>
    <cellStyle name="Normal 12 2 5 3" xfId="5492" xr:uid="{00000000-0005-0000-0000-0000110E0000}"/>
    <cellStyle name="Normal 12 2 5 3 2" xfId="14818" xr:uid="{AF5D7449-D6CB-4F6C-BE9E-D620897EDD9A}"/>
    <cellStyle name="Normal 12 2 5 3 3" xfId="23265" xr:uid="{01554444-0F49-4C3F-806F-09BF5CC67452}"/>
    <cellStyle name="Normal 12 2 5 4" xfId="10601" xr:uid="{66F0D2C2-6A28-40CA-A421-D5A0FA46086D}"/>
    <cellStyle name="Normal 12 2 5 5" xfId="19048" xr:uid="{EFA97655-CEAE-476A-A87E-C40021E86681}"/>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18D72125-9113-4523-81BB-28492815B30C}"/>
    <cellStyle name="Normal 12 2 6 2 2 3" xfId="25823" xr:uid="{981EED34-005D-4A07-9F02-EAE5F06FFAC2}"/>
    <cellStyle name="Normal 12 2 6 2 3" xfId="13159" xr:uid="{6688D708-F82A-4967-9FD6-2409CD258698}"/>
    <cellStyle name="Normal 12 2 6 2 4" xfId="21606" xr:uid="{C86F89AD-0D31-4A82-A29D-9C91CE260439}"/>
    <cellStyle name="Normal 12 2 6 3" xfId="5905" xr:uid="{00000000-0005-0000-0000-0000150E0000}"/>
    <cellStyle name="Normal 12 2 6 3 2" xfId="15231" xr:uid="{49C455C5-1B38-4652-886C-6112ED96DD01}"/>
    <cellStyle name="Normal 12 2 6 3 3" xfId="23678" xr:uid="{CD42F8F9-4150-4B0E-AB2C-FD6EFC348B40}"/>
    <cellStyle name="Normal 12 2 6 4" xfId="11014" xr:uid="{FFF6A2BB-FBC0-448E-B4D5-D73D8305576A}"/>
    <cellStyle name="Normal 12 2 6 5" xfId="19461" xr:uid="{7B5121E8-EE81-4819-A55B-5DD8AFF97F3B}"/>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6BF616F9-4EF4-4B6A-83FD-0351784DB444}"/>
    <cellStyle name="Normal 12 2 7 2 2 3" xfId="26236" xr:uid="{16236E49-25B4-48B9-8A60-67D8A36E821C}"/>
    <cellStyle name="Normal 12 2 7 2 3" xfId="13572" xr:uid="{6B436A86-8732-419E-8A51-1313F4DA906B}"/>
    <cellStyle name="Normal 12 2 7 2 4" xfId="22019" xr:uid="{BC4ABFED-3DDD-430F-A41E-236FC5C18C17}"/>
    <cellStyle name="Normal 12 2 7 3" xfId="6318" xr:uid="{00000000-0005-0000-0000-0000190E0000}"/>
    <cellStyle name="Normal 12 2 7 3 2" xfId="15644" xr:uid="{F809C5F2-92CA-4B0D-9997-3D1F59B71692}"/>
    <cellStyle name="Normal 12 2 7 3 3" xfId="24091" xr:uid="{1BCA8E53-1A91-4E8A-9091-26ED0D5C0FE5}"/>
    <cellStyle name="Normal 12 2 7 4" xfId="11427" xr:uid="{18313784-4B9A-4D78-A31E-A905E7D78F23}"/>
    <cellStyle name="Normal 12 2 7 5" xfId="19874" xr:uid="{4EB02705-CA31-46EE-9CC7-D8D7AB718D87}"/>
    <cellStyle name="Normal 12 2 8" xfId="2448" xr:uid="{00000000-0005-0000-0000-00001A0E0000}"/>
    <cellStyle name="Normal 12 2 8 2" xfId="6731" xr:uid="{00000000-0005-0000-0000-00001B0E0000}"/>
    <cellStyle name="Normal 12 2 8 2 2" xfId="16057" xr:uid="{27081BBA-E7A2-408D-AB53-420CDE334BDA}"/>
    <cellStyle name="Normal 12 2 8 2 3" xfId="24504" xr:uid="{20E0E1DF-9441-4AD3-B009-16336684FA5A}"/>
    <cellStyle name="Normal 12 2 8 3" xfId="11840" xr:uid="{BC27C105-5117-4795-B8EF-4BF966FBC9BF}"/>
    <cellStyle name="Normal 12 2 8 4" xfId="20287" xr:uid="{D738B4AA-8751-4A8E-B7CB-AD0059559A3C}"/>
    <cellStyle name="Normal 12 2 9" xfId="4665" xr:uid="{00000000-0005-0000-0000-00001C0E0000}"/>
    <cellStyle name="Normal 12 2 9 2" xfId="13991" xr:uid="{7D152784-B4DA-48DA-806E-888051D2183B}"/>
    <cellStyle name="Normal 12 2 9 3" xfId="22438" xr:uid="{F2ECBB02-3430-4638-A104-2DB5C3053C5A}"/>
    <cellStyle name="Normal 12 3" xfId="264" xr:uid="{00000000-0005-0000-0000-00001D0E0000}"/>
    <cellStyle name="Normal 12 3 10" xfId="9778" xr:uid="{81185FEB-0D90-4831-B29C-9DC8646AB8EA}"/>
    <cellStyle name="Normal 12 3 11" xfId="18225" xr:uid="{8CC5D746-B5DE-47D6-9721-0DD124050C88}"/>
    <cellStyle name="Normal 12 3 2" xfId="265" xr:uid="{00000000-0005-0000-0000-00001E0E0000}"/>
    <cellStyle name="Normal 12 3 2 10" xfId="18226" xr:uid="{462808ED-ADC7-439C-AFAA-10E700AEB94A}"/>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D9DBBFBC-79CE-4EF3-9A20-7BDB2D99B047}"/>
    <cellStyle name="Normal 12 3 2 2 2 2 3" xfId="25002" xr:uid="{AFCD25EF-F372-4CA9-95D5-6F30F92EF8F9}"/>
    <cellStyle name="Normal 12 3 2 2 2 3" xfId="12338" xr:uid="{779CBFB0-844B-440A-9ABF-A794C0FA5B6B}"/>
    <cellStyle name="Normal 12 3 2 2 2 4" xfId="20785" xr:uid="{CCA163CB-97A9-42DC-873C-4377D3437874}"/>
    <cellStyle name="Normal 12 3 2 2 3" xfId="5084" xr:uid="{00000000-0005-0000-0000-0000220E0000}"/>
    <cellStyle name="Normal 12 3 2 2 3 2" xfId="14410" xr:uid="{781103C6-E2D8-4572-BF67-3EB66C372078}"/>
    <cellStyle name="Normal 12 3 2 2 3 3" xfId="22857" xr:uid="{23E44504-3D00-4E08-B6BB-7755169CB925}"/>
    <cellStyle name="Normal 12 3 2 2 4" xfId="9505" xr:uid="{B127619B-367D-40AD-851E-01DDBB2DCD13}"/>
    <cellStyle name="Normal 12 3 2 2 5" xfId="10193" xr:uid="{49A7EB54-7283-4389-A0DF-DC4D5C7D36F9}"/>
    <cellStyle name="Normal 12 3 2 2 6" xfId="18640" xr:uid="{F0EE1D77-83CE-4D96-A302-B10AECC034D0}"/>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2A2BA6E0-942B-4C9E-B179-2036D752F34F}"/>
    <cellStyle name="Normal 12 3 2 3 2 2 3" xfId="25415" xr:uid="{E0996873-F569-4299-9EDC-ED123C2A0426}"/>
    <cellStyle name="Normal 12 3 2 3 2 3" xfId="12751" xr:uid="{425B67A2-51A7-4732-B507-03FE2504B295}"/>
    <cellStyle name="Normal 12 3 2 3 2 4" xfId="21198" xr:uid="{1B862818-3A41-446F-8E96-0ADC04AA8ED5}"/>
    <cellStyle name="Normal 12 3 2 3 3" xfId="5497" xr:uid="{00000000-0005-0000-0000-0000260E0000}"/>
    <cellStyle name="Normal 12 3 2 3 3 2" xfId="14823" xr:uid="{F8BCC923-A917-4CDB-AA19-9723D7B20552}"/>
    <cellStyle name="Normal 12 3 2 3 3 3" xfId="23270" xr:uid="{C443532C-D993-4B4F-B90C-B54F901F8BBC}"/>
    <cellStyle name="Normal 12 3 2 3 4" xfId="10606" xr:uid="{75474771-FCA7-467F-A01B-52B703625F8B}"/>
    <cellStyle name="Normal 12 3 2 3 5" xfId="19053" xr:uid="{2E6BF053-40BD-426A-8E8C-BA59DFBBEF3D}"/>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57B5BBAF-9BAA-4341-8754-DBBF222AA31D}"/>
    <cellStyle name="Normal 12 3 2 4 2 2 3" xfId="25828" xr:uid="{B21872A5-C97D-4345-890D-4FD0D3313F65}"/>
    <cellStyle name="Normal 12 3 2 4 2 3" xfId="13164" xr:uid="{7E1AB12B-1476-4173-9644-8ECC1D84364C}"/>
    <cellStyle name="Normal 12 3 2 4 2 4" xfId="21611" xr:uid="{1AC0BEBC-6F4C-4BC1-A1F2-874C9BF82A61}"/>
    <cellStyle name="Normal 12 3 2 4 3" xfId="5910" xr:uid="{00000000-0005-0000-0000-00002A0E0000}"/>
    <cellStyle name="Normal 12 3 2 4 3 2" xfId="15236" xr:uid="{258F875E-CFCC-4C0F-A83F-B7DAF35FDB26}"/>
    <cellStyle name="Normal 12 3 2 4 3 3" xfId="23683" xr:uid="{BF6F95C8-1BBE-41AC-BF6A-32FE29D5EA76}"/>
    <cellStyle name="Normal 12 3 2 4 4" xfId="11019" xr:uid="{7CA9CE17-8159-4A02-BD41-2C871763F4D8}"/>
    <cellStyle name="Normal 12 3 2 4 5" xfId="19466" xr:uid="{3462E365-1FC6-4A64-A014-0DC4B7B2A271}"/>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1DBBD14C-EEA5-4D88-9DC7-D3910C75B7AE}"/>
    <cellStyle name="Normal 12 3 2 5 2 2 3" xfId="26241" xr:uid="{FFB793F3-802B-4765-AA76-93BF8C7937AC}"/>
    <cellStyle name="Normal 12 3 2 5 2 3" xfId="13577" xr:uid="{C3E7A3DE-4EDF-49A9-8D01-62CE3B10865F}"/>
    <cellStyle name="Normal 12 3 2 5 2 4" xfId="22024" xr:uid="{318BEDC6-96C3-4818-85D8-9334F59F144D}"/>
    <cellStyle name="Normal 12 3 2 5 3" xfId="6323" xr:uid="{00000000-0005-0000-0000-00002E0E0000}"/>
    <cellStyle name="Normal 12 3 2 5 3 2" xfId="15649" xr:uid="{A8F2E67A-97ED-44DD-91C0-D7F04BED949A}"/>
    <cellStyle name="Normal 12 3 2 5 3 3" xfId="24096" xr:uid="{5AB8DDFA-C149-4F7E-8688-9AE2639D5CEE}"/>
    <cellStyle name="Normal 12 3 2 5 4" xfId="11432" xr:uid="{3FD42E15-025F-4A2D-8182-50309CABB731}"/>
    <cellStyle name="Normal 12 3 2 5 5" xfId="19879" xr:uid="{550404ED-7E9E-4739-87CB-AC4873D0ED29}"/>
    <cellStyle name="Normal 12 3 2 6" xfId="2453" xr:uid="{00000000-0005-0000-0000-00002F0E0000}"/>
    <cellStyle name="Normal 12 3 2 6 2" xfId="6736" xr:uid="{00000000-0005-0000-0000-0000300E0000}"/>
    <cellStyle name="Normal 12 3 2 6 2 2" xfId="16062" xr:uid="{2E8CA132-1C1A-4D26-94D4-9A5DAB5A0DFE}"/>
    <cellStyle name="Normal 12 3 2 6 2 3" xfId="24509" xr:uid="{4FCD7264-88E7-4C3D-8E57-90401A6E2C21}"/>
    <cellStyle name="Normal 12 3 2 6 3" xfId="11845" xr:uid="{CA859847-BCDC-4CEA-9C63-17DF0A51D33F}"/>
    <cellStyle name="Normal 12 3 2 6 4" xfId="20292" xr:uid="{EB48FFBD-9A6E-46F4-9F5A-BE62145391B8}"/>
    <cellStyle name="Normal 12 3 2 7" xfId="4670" xr:uid="{00000000-0005-0000-0000-0000310E0000}"/>
    <cellStyle name="Normal 12 3 2 7 2" xfId="13996" xr:uid="{6FAFEACE-8B91-41C6-8F2C-39B5D8245054}"/>
    <cellStyle name="Normal 12 3 2 7 3" xfId="22443" xr:uid="{4BA5B978-0257-4C0B-A25F-D3382ADF8F6F}"/>
    <cellStyle name="Normal 12 3 2 8" xfId="9080" xr:uid="{403F3083-4A9F-4295-B676-C31241B8936E}"/>
    <cellStyle name="Normal 12 3 2 9" xfId="9779" xr:uid="{C60F0326-0650-4C80-A1EF-3AE0D2EBEB3B}"/>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D34B689B-1AE6-4276-ABE8-D149FD0123EB}"/>
    <cellStyle name="Normal 12 3 3 2 2 3" xfId="25001" xr:uid="{19003924-2ED8-49D2-99BE-C2E946A9F687}"/>
    <cellStyle name="Normal 12 3 3 2 3" xfId="12337" xr:uid="{0908FD7D-1C90-4B68-AACE-3F44E7FF20C7}"/>
    <cellStyle name="Normal 12 3 3 2 4" xfId="20784" xr:uid="{FCFBBC57-0891-4F2B-B6F4-D6454679097F}"/>
    <cellStyle name="Normal 12 3 3 3" xfId="5083" xr:uid="{00000000-0005-0000-0000-0000350E0000}"/>
    <cellStyle name="Normal 12 3 3 3 2" xfId="14409" xr:uid="{5693D5A4-F349-4B71-A5ED-CAB8EEC5E3C2}"/>
    <cellStyle name="Normal 12 3 3 3 3" xfId="22856" xr:uid="{71D9E182-6172-4C12-A15D-7B7E19BE4824}"/>
    <cellStyle name="Normal 12 3 3 4" xfId="9298" xr:uid="{A6F9D711-F86A-406D-B160-91678C261745}"/>
    <cellStyle name="Normal 12 3 3 5" xfId="10192" xr:uid="{7C2BEF9C-83C9-4570-8370-E083F9AFB24A}"/>
    <cellStyle name="Normal 12 3 3 6" xfId="18639" xr:uid="{339FC633-1F26-430C-8AD8-8AA0B6D2BB1A}"/>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7D33AFCE-7810-49B4-A1CC-889DAB38BC0D}"/>
    <cellStyle name="Normal 12 3 4 2 2 3" xfId="25414" xr:uid="{AC5D0BEF-3CE2-4A53-9C23-D05310DAC028}"/>
    <cellStyle name="Normal 12 3 4 2 3" xfId="12750" xr:uid="{6D458011-F606-4916-9785-238A41A95328}"/>
    <cellStyle name="Normal 12 3 4 2 4" xfId="21197" xr:uid="{81475617-C62C-491F-8244-4190ACE77C2A}"/>
    <cellStyle name="Normal 12 3 4 3" xfId="5496" xr:uid="{00000000-0005-0000-0000-0000390E0000}"/>
    <cellStyle name="Normal 12 3 4 3 2" xfId="14822" xr:uid="{8237CBC1-6ABE-4B7E-B880-6536A0B69FDB}"/>
    <cellStyle name="Normal 12 3 4 3 3" xfId="23269" xr:uid="{B0BCB7F2-A64B-442C-9891-33448665FDB7}"/>
    <cellStyle name="Normal 12 3 4 4" xfId="10605" xr:uid="{3DC6278D-ECF6-4AC0-BEE2-0908065778AC}"/>
    <cellStyle name="Normal 12 3 4 5" xfId="19052" xr:uid="{B24424A1-DCA9-4DC0-818C-B61C7E2EA564}"/>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9E206521-BDAB-4CF4-90E5-5AC5DF2DCCE8}"/>
    <cellStyle name="Normal 12 3 5 2 2 3" xfId="25827" xr:uid="{F731ED29-F679-4CE7-834C-CD6B2727951D}"/>
    <cellStyle name="Normal 12 3 5 2 3" xfId="13163" xr:uid="{DA0F8851-DAEF-4631-9138-26637E8BE3F7}"/>
    <cellStyle name="Normal 12 3 5 2 4" xfId="21610" xr:uid="{1432D892-5E48-4207-BA99-0A9BDECA568F}"/>
    <cellStyle name="Normal 12 3 5 3" xfId="5909" xr:uid="{00000000-0005-0000-0000-00003D0E0000}"/>
    <cellStyle name="Normal 12 3 5 3 2" xfId="15235" xr:uid="{E535EFBC-3E79-4C48-B1F8-3CE99DAA5B4A}"/>
    <cellStyle name="Normal 12 3 5 3 3" xfId="23682" xr:uid="{51E71F7E-73F7-4052-AFE6-8F6FD249F730}"/>
    <cellStyle name="Normal 12 3 5 4" xfId="11018" xr:uid="{614818CD-EBBD-4C2F-BAC4-EB3916FEA65A}"/>
    <cellStyle name="Normal 12 3 5 5" xfId="19465" xr:uid="{1136FFB2-2E4A-4AAF-BA6B-DC8F2F97B6A9}"/>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B9C0F716-CE39-4790-B88C-37D52AC968FE}"/>
    <cellStyle name="Normal 12 3 6 2 2 3" xfId="26240" xr:uid="{61EC9AF9-36EF-4C54-ADB3-651024F8EAC9}"/>
    <cellStyle name="Normal 12 3 6 2 3" xfId="13576" xr:uid="{B84BAD16-8CF4-4C84-A123-99200C0261FC}"/>
    <cellStyle name="Normal 12 3 6 2 4" xfId="22023" xr:uid="{B69E7589-52DA-424A-AA39-599A28E50CFC}"/>
    <cellStyle name="Normal 12 3 6 3" xfId="6322" xr:uid="{00000000-0005-0000-0000-0000410E0000}"/>
    <cellStyle name="Normal 12 3 6 3 2" xfId="15648" xr:uid="{B8253BF2-A03E-45E0-A6A2-35639E9BE137}"/>
    <cellStyle name="Normal 12 3 6 3 3" xfId="24095" xr:uid="{7DAD5C68-A491-48A2-979B-92601FBFE82A}"/>
    <cellStyle name="Normal 12 3 6 4" xfId="11431" xr:uid="{02594500-8875-4CFD-88E0-22D530BA15B0}"/>
    <cellStyle name="Normal 12 3 6 5" xfId="19878" xr:uid="{48163214-E9E1-48D8-A8F0-E8AEC182E78D}"/>
    <cellStyle name="Normal 12 3 7" xfId="2452" xr:uid="{00000000-0005-0000-0000-0000420E0000}"/>
    <cellStyle name="Normal 12 3 7 2" xfId="6735" xr:uid="{00000000-0005-0000-0000-0000430E0000}"/>
    <cellStyle name="Normal 12 3 7 2 2" xfId="16061" xr:uid="{C5799D76-6C2A-4E75-8ED7-8C9706D72DDA}"/>
    <cellStyle name="Normal 12 3 7 2 3" xfId="24508" xr:uid="{A0450ED9-06BA-416E-B234-5E5C70D60F57}"/>
    <cellStyle name="Normal 12 3 7 3" xfId="11844" xr:uid="{F2B0BD6A-323C-4809-9FAC-1BABFFB0F0F5}"/>
    <cellStyle name="Normal 12 3 7 4" xfId="20291" xr:uid="{08378E36-3C29-4B09-99A7-6770E5A0F506}"/>
    <cellStyle name="Normal 12 3 8" xfId="4669" xr:uid="{00000000-0005-0000-0000-0000440E0000}"/>
    <cellStyle name="Normal 12 3 8 2" xfId="13995" xr:uid="{6D3B4872-64D6-4548-B7A9-4812A6AD92A8}"/>
    <cellStyle name="Normal 12 3 8 3" xfId="22442" xr:uid="{4AD42FEA-90AF-400E-878E-88FD8A58770D}"/>
    <cellStyle name="Normal 12 3 9" xfId="8873" xr:uid="{72AE7E6C-F254-4BFC-80A7-F73848FA4F21}"/>
    <cellStyle name="Normal 12 4" xfId="266" xr:uid="{00000000-0005-0000-0000-0000450E0000}"/>
    <cellStyle name="Normal 12 4 10" xfId="18227" xr:uid="{626C303B-CB69-4E92-A05D-B6FBFFDD9DE7}"/>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CEBAC65A-82C0-423B-B0D3-3F6FAF7850F5}"/>
    <cellStyle name="Normal 12 4 2 2 2 3" xfId="25003" xr:uid="{7C186CEB-5DE2-4865-BFB0-734AAA198DA8}"/>
    <cellStyle name="Normal 12 4 2 2 3" xfId="12339" xr:uid="{C82D3B64-5373-40D9-990A-DBBF5FF595F9}"/>
    <cellStyle name="Normal 12 4 2 2 4" xfId="20786" xr:uid="{E56B5D03-6F68-4040-8836-330DEDC0C905}"/>
    <cellStyle name="Normal 12 4 2 3" xfId="5085" xr:uid="{00000000-0005-0000-0000-0000490E0000}"/>
    <cellStyle name="Normal 12 4 2 3 2" xfId="14411" xr:uid="{C4BDE696-4972-46FE-BF74-D3099D3C936D}"/>
    <cellStyle name="Normal 12 4 2 3 3" xfId="22858" xr:uid="{1F3209C8-1A6A-411D-A9A2-D6202E4B62FD}"/>
    <cellStyle name="Normal 12 4 2 4" xfId="9402" xr:uid="{F40C9AB7-F4D0-4A65-BBAA-FF5409160FE5}"/>
    <cellStyle name="Normal 12 4 2 5" xfId="10194" xr:uid="{B6D4E8E1-D791-45E9-90E6-F4F6D50C03BE}"/>
    <cellStyle name="Normal 12 4 2 6" xfId="18641" xr:uid="{B9BBDAEA-B76A-4E6A-AE50-557B40E49250}"/>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19FE245F-F07D-4920-B24D-17F7205E0FFF}"/>
    <cellStyle name="Normal 12 4 3 2 2 3" xfId="25416" xr:uid="{CA55510E-85EC-42C0-A767-45C4E6DA3965}"/>
    <cellStyle name="Normal 12 4 3 2 3" xfId="12752" xr:uid="{8D198DD7-A2AF-4A93-ADCD-2D5034B93E42}"/>
    <cellStyle name="Normal 12 4 3 2 4" xfId="21199" xr:uid="{D016D6B3-12AF-4148-8ACE-E44ACD001A21}"/>
    <cellStyle name="Normal 12 4 3 3" xfId="5498" xr:uid="{00000000-0005-0000-0000-00004D0E0000}"/>
    <cellStyle name="Normal 12 4 3 3 2" xfId="14824" xr:uid="{A70552BF-BAE0-4CF4-BDAC-BAF4D182FC84}"/>
    <cellStyle name="Normal 12 4 3 3 3" xfId="23271" xr:uid="{04D1E7E0-9945-49D0-8B28-EBBE93FD73B4}"/>
    <cellStyle name="Normal 12 4 3 4" xfId="10607" xr:uid="{C6F8D67F-2AE7-46A3-B6C8-2006CEED2427}"/>
    <cellStyle name="Normal 12 4 3 5" xfId="19054" xr:uid="{3E7C994F-D87B-4D59-A343-6058B099E012}"/>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829147DB-34EE-4A8D-A536-5D749793066C}"/>
    <cellStyle name="Normal 12 4 4 2 2 3" xfId="25829" xr:uid="{6FBDB677-E956-4F3D-8A6A-1E1359CAB485}"/>
    <cellStyle name="Normal 12 4 4 2 3" xfId="13165" xr:uid="{0D20EF6C-E5CA-45ED-AB3E-E972ACBFEF06}"/>
    <cellStyle name="Normal 12 4 4 2 4" xfId="21612" xr:uid="{02A01EE7-798E-474B-BBE7-1A7ABCC348D8}"/>
    <cellStyle name="Normal 12 4 4 3" xfId="5911" xr:uid="{00000000-0005-0000-0000-0000510E0000}"/>
    <cellStyle name="Normal 12 4 4 3 2" xfId="15237" xr:uid="{0CFC5F2F-6FC2-443F-8845-6C07D06DC451}"/>
    <cellStyle name="Normal 12 4 4 3 3" xfId="23684" xr:uid="{7928C4D8-0E81-4DB3-9E35-EEFD65218205}"/>
    <cellStyle name="Normal 12 4 4 4" xfId="11020" xr:uid="{71F72081-4F4B-4D8B-8C6D-D74C88ED26A5}"/>
    <cellStyle name="Normal 12 4 4 5" xfId="19467" xr:uid="{24048588-C712-40A8-A845-79CBCFC03EA0}"/>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B546F084-AF70-4DC8-A3D5-179D9CEF230E}"/>
    <cellStyle name="Normal 12 4 5 2 2 3" xfId="26242" xr:uid="{F41C28A6-F029-4045-8FB1-F5E9E2CC3CC9}"/>
    <cellStyle name="Normal 12 4 5 2 3" xfId="13578" xr:uid="{3809CF77-E7F8-4146-98C3-09E751E3684C}"/>
    <cellStyle name="Normal 12 4 5 2 4" xfId="22025" xr:uid="{C8163081-A6AB-456F-95BA-DDA8B67BC32B}"/>
    <cellStyle name="Normal 12 4 5 3" xfId="6324" xr:uid="{00000000-0005-0000-0000-0000550E0000}"/>
    <cellStyle name="Normal 12 4 5 3 2" xfId="15650" xr:uid="{4069CD36-4A31-4ACF-B562-6DCC66A456E6}"/>
    <cellStyle name="Normal 12 4 5 3 3" xfId="24097" xr:uid="{66E4BCEF-207E-47D1-8B77-E5FDBED8A40E}"/>
    <cellStyle name="Normal 12 4 5 4" xfId="11433" xr:uid="{C2BB7503-7360-4BEB-8A24-6E43AE2B6FAC}"/>
    <cellStyle name="Normal 12 4 5 5" xfId="19880" xr:uid="{F5455654-C839-4EF2-BEFB-589050B5C243}"/>
    <cellStyle name="Normal 12 4 6" xfId="2454" xr:uid="{00000000-0005-0000-0000-0000560E0000}"/>
    <cellStyle name="Normal 12 4 6 2" xfId="6737" xr:uid="{00000000-0005-0000-0000-0000570E0000}"/>
    <cellStyle name="Normal 12 4 6 2 2" xfId="16063" xr:uid="{85771829-2667-4EF3-88E2-277E742F8FB8}"/>
    <cellStyle name="Normal 12 4 6 2 3" xfId="24510" xr:uid="{0D1EB140-8203-4C47-9953-EE16FB67EE78}"/>
    <cellStyle name="Normal 12 4 6 3" xfId="11846" xr:uid="{D37C6EEE-A059-447D-8222-2513FB182610}"/>
    <cellStyle name="Normal 12 4 6 4" xfId="20293" xr:uid="{8D960B3C-E4C9-48BD-946A-DA6326DC5DDA}"/>
    <cellStyle name="Normal 12 4 7" xfId="4671" xr:uid="{00000000-0005-0000-0000-0000580E0000}"/>
    <cellStyle name="Normal 12 4 7 2" xfId="13997" xr:uid="{D7C37D46-59C8-4D0E-B3C4-CA6B6A394F68}"/>
    <cellStyle name="Normal 12 4 7 3" xfId="22444" xr:uid="{87C05C6B-315E-4477-8040-3DD9A1A74655}"/>
    <cellStyle name="Normal 12 4 8" xfId="8977" xr:uid="{5BFFE5F3-99F6-4DA1-A3EF-BF749B3B7ACB}"/>
    <cellStyle name="Normal 12 4 9" xfId="9780" xr:uid="{09702BD7-B384-4507-BF95-3108CEBEAED5}"/>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2 2 2" xfId="16549" xr:uid="{8188A19C-CEB8-4C95-86B3-D4A5D3BA2482}"/>
    <cellStyle name="Normal 12 6 2 2 3" xfId="24996" xr:uid="{1370240C-AEBB-4B68-8A03-6C4937B8AF83}"/>
    <cellStyle name="Normal 12 6 2 3" xfId="12332" xr:uid="{88808C2C-7660-4DA4-B9FA-2F709E394A3E}"/>
    <cellStyle name="Normal 12 6 2 4" xfId="20779" xr:uid="{FD5C8EE5-4D83-4528-8E48-10A58F7046FC}"/>
    <cellStyle name="Normal 12 6 3" xfId="5078" xr:uid="{00000000-0005-0000-0000-00005D0E0000}"/>
    <cellStyle name="Normal 12 6 3 2" xfId="14404" xr:uid="{0FD4F226-AFA2-468D-8341-90E4018BD300}"/>
    <cellStyle name="Normal 12 6 3 3" xfId="22851" xr:uid="{B125FB85-9A2E-403A-83CE-70DC7FD802FD}"/>
    <cellStyle name="Normal 12 6 4" xfId="9194" xr:uid="{92D32932-3865-4F6F-A551-9A99EC116A43}"/>
    <cellStyle name="Normal 12 6 5" xfId="10187" xr:uid="{83BB3263-8853-4D12-B454-0EE7CA449341}"/>
    <cellStyle name="Normal 12 6 6" xfId="18634" xr:uid="{B2D6B86E-D649-4908-A841-E2E0F46AEB0B}"/>
    <cellStyle name="Normal 12 7" xfId="1183" xr:uid="{00000000-0005-0000-0000-00005E0E0000}"/>
    <cellStyle name="Normal 12 7 2" xfId="3414" xr:uid="{00000000-0005-0000-0000-00005F0E0000}"/>
    <cellStyle name="Normal 12 7 2 2" xfId="7636" xr:uid="{00000000-0005-0000-0000-0000600E0000}"/>
    <cellStyle name="Normal 12 7 2 2 2" xfId="16962" xr:uid="{81705890-DCCC-4689-91D2-7AA5F63E03D7}"/>
    <cellStyle name="Normal 12 7 2 2 3" xfId="25409" xr:uid="{C381CAFA-C8A4-4A61-92CB-40DA7E6DCD60}"/>
    <cellStyle name="Normal 12 7 2 3" xfId="12745" xr:uid="{C128BD09-B4D1-401D-8859-1F5CA9E72A7D}"/>
    <cellStyle name="Normal 12 7 2 4" xfId="21192" xr:uid="{F04CB5CB-7F24-473C-ACF6-DD6D98A3364D}"/>
    <cellStyle name="Normal 12 7 3" xfId="5491" xr:uid="{00000000-0005-0000-0000-0000610E0000}"/>
    <cellStyle name="Normal 12 7 3 2" xfId="14817" xr:uid="{3FF7AE41-6496-442B-A503-26991BBFE491}"/>
    <cellStyle name="Normal 12 7 3 3" xfId="23264" xr:uid="{2C4CCBB7-6A8F-4DC3-B58A-00D0A9E66749}"/>
    <cellStyle name="Normal 12 7 4" xfId="10600" xr:uid="{9846C302-E763-44D1-BA6D-03A99DE5A121}"/>
    <cellStyle name="Normal 12 7 5" xfId="19047" xr:uid="{A6A0A3DB-FD90-4E77-A366-AC9AAE8B6C3F}"/>
    <cellStyle name="Normal 12 8" xfId="1597" xr:uid="{00000000-0005-0000-0000-0000620E0000}"/>
    <cellStyle name="Normal 12 8 2" xfId="3827" xr:uid="{00000000-0005-0000-0000-0000630E0000}"/>
    <cellStyle name="Normal 12 8 2 2" xfId="8049" xr:uid="{00000000-0005-0000-0000-0000640E0000}"/>
    <cellStyle name="Normal 12 8 2 2 2" xfId="17375" xr:uid="{35F469EC-3AE0-4173-B67D-24D69D7D814E}"/>
    <cellStyle name="Normal 12 8 2 2 3" xfId="25822" xr:uid="{3962BDBE-9B38-44F7-97F4-FA8C04F58CEE}"/>
    <cellStyle name="Normal 12 8 2 3" xfId="13158" xr:uid="{856180F5-9E85-4972-A9EC-C7BD25C7759A}"/>
    <cellStyle name="Normal 12 8 2 4" xfId="21605" xr:uid="{CAFE6CA9-3AA8-4CAB-8D76-40D430F7A2EE}"/>
    <cellStyle name="Normal 12 8 3" xfId="5904" xr:uid="{00000000-0005-0000-0000-0000650E0000}"/>
    <cellStyle name="Normal 12 8 3 2" xfId="15230" xr:uid="{CCFCD345-3F2F-4418-972E-D4B0D6A2E937}"/>
    <cellStyle name="Normal 12 8 3 3" xfId="23677" xr:uid="{3B8AAA12-6160-4936-B7CA-EEDAD2D56EF8}"/>
    <cellStyle name="Normal 12 8 4" xfId="11013" xr:uid="{E68E348B-3E3D-4304-B547-26E458A31F82}"/>
    <cellStyle name="Normal 12 8 5" xfId="19460" xr:uid="{ED33AFE1-3A95-498A-9F16-302DE3A77C73}"/>
    <cellStyle name="Normal 12 9" xfId="2011" xr:uid="{00000000-0005-0000-0000-0000660E0000}"/>
    <cellStyle name="Normal 12 9 2" xfId="4240" xr:uid="{00000000-0005-0000-0000-0000670E0000}"/>
    <cellStyle name="Normal 12 9 2 2" xfId="8462" xr:uid="{00000000-0005-0000-0000-0000680E0000}"/>
    <cellStyle name="Normal 12 9 2 2 2" xfId="17788" xr:uid="{19870758-E9A1-4825-9E6C-E8E73A07E4DD}"/>
    <cellStyle name="Normal 12 9 2 2 3" xfId="26235" xr:uid="{F8545018-7391-4E67-93F8-B6D44ACD69D5}"/>
    <cellStyle name="Normal 12 9 2 3" xfId="13571" xr:uid="{D3204F4D-DFFC-44C4-B26F-8363999E7C2D}"/>
    <cellStyle name="Normal 12 9 2 4" xfId="22018" xr:uid="{6C581964-8779-4562-BDD5-AD6424E887A6}"/>
    <cellStyle name="Normal 12 9 3" xfId="6317" xr:uid="{00000000-0005-0000-0000-0000690E0000}"/>
    <cellStyle name="Normal 12 9 3 2" xfId="15643" xr:uid="{359FF359-D784-4107-A37B-B563A540F7AD}"/>
    <cellStyle name="Normal 12 9 3 3" xfId="24090" xr:uid="{50AB304F-D2C5-4972-B1AC-EE129E752791}"/>
    <cellStyle name="Normal 12 9 4" xfId="11426" xr:uid="{C39C0856-3339-480D-A640-A903E2B0B526}"/>
    <cellStyle name="Normal 12 9 5" xfId="19873" xr:uid="{0ADD4A06-2B71-4FB1-9DE1-488D96CCA3CB}"/>
    <cellStyle name="Normal 13" xfId="268" xr:uid="{00000000-0005-0000-0000-00006A0E0000}"/>
    <cellStyle name="Normal 13 2" xfId="269" xr:uid="{00000000-0005-0000-0000-00006B0E0000}"/>
    <cellStyle name="Normal 14" xfId="270" xr:uid="{00000000-0005-0000-0000-00006C0E0000}"/>
    <cellStyle name="Normal 14 10" xfId="18228" xr:uid="{8F8F6656-EDC9-4B23-870D-B64B1312FD98}"/>
    <cellStyle name="Normal 14 2" xfId="768" xr:uid="{00000000-0005-0000-0000-00006D0E0000}"/>
    <cellStyle name="Normal 14 2 2" xfId="3009" xr:uid="{00000000-0005-0000-0000-00006E0E0000}"/>
    <cellStyle name="Normal 14 2 2 2" xfId="7231" xr:uid="{00000000-0005-0000-0000-00006F0E0000}"/>
    <cellStyle name="Normal 14 2 2 2 2" xfId="16557" xr:uid="{CC12FA03-2215-4745-A649-2BA0B06E1FFF}"/>
    <cellStyle name="Normal 14 2 2 2 3" xfId="25004" xr:uid="{0B43585A-FDD1-4C27-BE07-75C670E94232}"/>
    <cellStyle name="Normal 14 2 2 3" xfId="12340" xr:uid="{E5809771-7541-4FA4-B80F-57B3BFC59F86}"/>
    <cellStyle name="Normal 14 2 2 4" xfId="20787" xr:uid="{FA193F7A-3D56-4376-820A-6CE7722DACD9}"/>
    <cellStyle name="Normal 14 2 3" xfId="5086" xr:uid="{00000000-0005-0000-0000-0000700E0000}"/>
    <cellStyle name="Normal 14 2 3 2" xfId="14412" xr:uid="{F2DA99BA-D032-4C5C-9BFF-52BB7C8263C8}"/>
    <cellStyle name="Normal 14 2 3 3" xfId="22859" xr:uid="{26208754-1A30-471B-B423-6AA8B9281ECE}"/>
    <cellStyle name="Normal 14 2 4" xfId="9371" xr:uid="{E1AFB5B4-F468-480A-B09F-3374B2F03BDA}"/>
    <cellStyle name="Normal 14 2 5" xfId="10195" xr:uid="{65F4CB6C-F1ED-4FC8-AAEA-26DD94A14355}"/>
    <cellStyle name="Normal 14 2 6" xfId="18642" xr:uid="{94FE0BAE-5C26-4C09-84E0-105CDE143816}"/>
    <cellStyle name="Normal 14 3" xfId="1191" xr:uid="{00000000-0005-0000-0000-0000710E0000}"/>
    <cellStyle name="Normal 14 3 2" xfId="3422" xr:uid="{00000000-0005-0000-0000-0000720E0000}"/>
    <cellStyle name="Normal 14 3 2 2" xfId="7644" xr:uid="{00000000-0005-0000-0000-0000730E0000}"/>
    <cellStyle name="Normal 14 3 2 2 2" xfId="16970" xr:uid="{07A8043E-D42D-4E7F-88C1-1C14AB5F3F38}"/>
    <cellStyle name="Normal 14 3 2 2 3" xfId="25417" xr:uid="{D1015083-E732-4474-A965-0263F1E01461}"/>
    <cellStyle name="Normal 14 3 2 3" xfId="12753" xr:uid="{26FC375F-372F-47B5-AFC1-37FE329BF9AD}"/>
    <cellStyle name="Normal 14 3 2 4" xfId="21200" xr:uid="{C61F033B-505C-451C-9CC6-872F04C1FEA6}"/>
    <cellStyle name="Normal 14 3 3" xfId="5499" xr:uid="{00000000-0005-0000-0000-0000740E0000}"/>
    <cellStyle name="Normal 14 3 3 2" xfId="14825" xr:uid="{FD901562-7D37-41A9-A2D8-7F58ACD1C9B3}"/>
    <cellStyle name="Normal 14 3 3 3" xfId="23272" xr:uid="{9CF43957-70C3-4FAC-9D52-C40268494EA3}"/>
    <cellStyle name="Normal 14 3 4" xfId="10608" xr:uid="{280D5C0D-4456-4A4D-8939-5652C714737D}"/>
    <cellStyle name="Normal 14 3 5" xfId="19055" xr:uid="{7B155A54-5779-4714-A8DD-6678039A1A4C}"/>
    <cellStyle name="Normal 14 4" xfId="1605" xr:uid="{00000000-0005-0000-0000-0000750E0000}"/>
    <cellStyle name="Normal 14 4 2" xfId="3835" xr:uid="{00000000-0005-0000-0000-0000760E0000}"/>
    <cellStyle name="Normal 14 4 2 2" xfId="8057" xr:uid="{00000000-0005-0000-0000-0000770E0000}"/>
    <cellStyle name="Normal 14 4 2 2 2" xfId="17383" xr:uid="{ECA0B7C3-E0B2-4921-B53F-B15F51364AF4}"/>
    <cellStyle name="Normal 14 4 2 2 3" xfId="25830" xr:uid="{F5C2F1BF-925E-43E9-8F68-95B242A38EAA}"/>
    <cellStyle name="Normal 14 4 2 3" xfId="13166" xr:uid="{5CC0FAF0-5183-434E-BB01-53AFE47C19BD}"/>
    <cellStyle name="Normal 14 4 2 4" xfId="21613" xr:uid="{4F1F10A1-5DBC-476E-AF3C-C4CAF28F288A}"/>
    <cellStyle name="Normal 14 4 3" xfId="5912" xr:uid="{00000000-0005-0000-0000-0000780E0000}"/>
    <cellStyle name="Normal 14 4 3 2" xfId="15238" xr:uid="{6C524887-55B3-487D-A83F-A09B82978FF3}"/>
    <cellStyle name="Normal 14 4 3 3" xfId="23685" xr:uid="{EF7AFE77-690E-49BD-85B0-3DD376D6324A}"/>
    <cellStyle name="Normal 14 4 4" xfId="11021" xr:uid="{818AD362-7351-4597-9A6B-C6C199930E4E}"/>
    <cellStyle name="Normal 14 4 5" xfId="19468" xr:uid="{71484A61-FFA3-46FA-B48E-2698561749FC}"/>
    <cellStyle name="Normal 14 5" xfId="2019" xr:uid="{00000000-0005-0000-0000-0000790E0000}"/>
    <cellStyle name="Normal 14 5 2" xfId="4248" xr:uid="{00000000-0005-0000-0000-00007A0E0000}"/>
    <cellStyle name="Normal 14 5 2 2" xfId="8470" xr:uid="{00000000-0005-0000-0000-00007B0E0000}"/>
    <cellStyle name="Normal 14 5 2 2 2" xfId="17796" xr:uid="{3B01126F-A685-4068-92B6-D31144907C39}"/>
    <cellStyle name="Normal 14 5 2 2 3" xfId="26243" xr:uid="{3574240B-EB64-4F2E-BA3B-121A93B447FE}"/>
    <cellStyle name="Normal 14 5 2 3" xfId="13579" xr:uid="{C81715C6-1975-4477-B335-3DC7F1E7DF92}"/>
    <cellStyle name="Normal 14 5 2 4" xfId="22026" xr:uid="{054E3252-B1D3-46BE-AA45-211F33F97E44}"/>
    <cellStyle name="Normal 14 5 3" xfId="6325" xr:uid="{00000000-0005-0000-0000-00007C0E0000}"/>
    <cellStyle name="Normal 14 5 3 2" xfId="15651" xr:uid="{B4FED292-8211-45C0-9B15-BA38F3C52BF3}"/>
    <cellStyle name="Normal 14 5 3 3" xfId="24098" xr:uid="{CB369F3E-834B-4512-8D81-A6B0146BEFF1}"/>
    <cellStyle name="Normal 14 5 4" xfId="11434" xr:uid="{96B27A7B-20F1-4AF7-8F34-5BAAD4EDD105}"/>
    <cellStyle name="Normal 14 5 5" xfId="19881" xr:uid="{066B4763-7A5F-449A-8D73-1D87E7CC3F45}"/>
    <cellStyle name="Normal 14 6" xfId="2455" xr:uid="{00000000-0005-0000-0000-00007D0E0000}"/>
    <cellStyle name="Normal 14 6 2" xfId="6738" xr:uid="{00000000-0005-0000-0000-00007E0E0000}"/>
    <cellStyle name="Normal 14 6 2 2" xfId="16064" xr:uid="{F5ECD40C-7A0C-427B-B2EB-17FCB7C0D616}"/>
    <cellStyle name="Normal 14 6 2 3" xfId="24511" xr:uid="{F94A9D01-EBED-4B36-92DB-B9A8243F6833}"/>
    <cellStyle name="Normal 14 6 3" xfId="11847" xr:uid="{E0D775E3-494C-4B2D-BE91-E6682F445D51}"/>
    <cellStyle name="Normal 14 6 4" xfId="20294" xr:uid="{1F27FC24-23A2-48B3-A26D-82F5F2759ADA}"/>
    <cellStyle name="Normal 14 7" xfId="4672" xr:uid="{00000000-0005-0000-0000-00007F0E0000}"/>
    <cellStyle name="Normal 14 7 2" xfId="13998" xr:uid="{4AAF9478-12CB-4007-AD30-6946C397B8E6}"/>
    <cellStyle name="Normal 14 7 3" xfId="22445" xr:uid="{751E0175-0D1E-4A4D-82D3-FBE6E0BFBCA3}"/>
    <cellStyle name="Normal 14 8" xfId="8946" xr:uid="{DD997A1C-6669-41AA-8AC1-78121AFC796C}"/>
    <cellStyle name="Normal 14 9" xfId="9781" xr:uid="{D4B6E7D9-A902-48D6-A2EC-2D8E458E8362}"/>
    <cellStyle name="Normal 15" xfId="4496" xr:uid="{00000000-0005-0000-0000-0000800E0000}"/>
    <cellStyle name="Normal 15 2" xfId="9578" xr:uid="{99513E76-E7E2-49D8-ADC5-F882C61FFC79}"/>
    <cellStyle name="Normal 15 3" xfId="9155" xr:uid="{47700DD8-A88A-4CB4-BFAD-BA75A2D4FC8E}"/>
    <cellStyle name="Normal 15 4" xfId="13824" xr:uid="{19557296-CC66-4AD3-A4C7-BAC99FDD8A2D}"/>
    <cellStyle name="Normal 15 5" xfId="22271" xr:uid="{3371EA01-A33C-4613-AEDF-64D66F417989}"/>
    <cellStyle name="Normal 16" xfId="4500" xr:uid="{00000000-0005-0000-0000-0000810E0000}"/>
    <cellStyle name="Normal 16 2" xfId="8715" xr:uid="{00000000-0005-0000-0000-0000820E0000}"/>
    <cellStyle name="Normal 16 2 2" xfId="18041" xr:uid="{A76AD19C-CC94-4CBB-B33B-5EE49B2B7531}"/>
    <cellStyle name="Normal 16 2 3" xfId="26488" xr:uid="{E0E87F22-2E89-4D2F-9A41-32B204770E55}"/>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3" xfId="18057" xr:uid="{E216789B-2C4D-4F66-B667-B2F75CF35158}"/>
    <cellStyle name="Normal 16 3 2 2 2 2 4" xfId="26504" xr:uid="{5499471C-933E-4928-9F03-8F636C1827CF}"/>
    <cellStyle name="Normal 16 3 2 2 2 3" xfId="18054" xr:uid="{DE00AD36-74CB-46B6-9D6C-FD0A1D27573D}"/>
    <cellStyle name="Normal 16 3 2 2 2 4" xfId="26501" xr:uid="{C6E871FC-0FE3-49FD-9534-6959C43664CE}"/>
    <cellStyle name="Normal 16 3 2 2 3" xfId="18050" xr:uid="{3D9B89E7-347C-4FE3-A116-A629AF055A11}"/>
    <cellStyle name="Normal 16 3 2 2 4" xfId="26497" xr:uid="{82BE0F77-473E-48A8-8608-12BBEB42BE12}"/>
    <cellStyle name="Normal 16 3 2 3" xfId="18047" xr:uid="{36CEF596-2881-4B94-B0D2-C7CB608CB910}"/>
    <cellStyle name="Normal 16 3 2 4" xfId="26494" xr:uid="{0EEEE93B-4C6C-466B-ADB2-E075BBE38A0D}"/>
    <cellStyle name="Normal 16 3 3" xfId="18044" xr:uid="{02F7DE7E-5C03-4BD3-A85B-5CAF8A70E862}"/>
    <cellStyle name="Normal 16 3 4" xfId="26491" xr:uid="{F879DB31-9AD0-4C41-A8DA-674E931A1B4E}"/>
    <cellStyle name="Normal 16 4" xfId="9612" xr:uid="{8729F6E8-3534-4DAE-B0B2-B2AF3CDCD313}"/>
    <cellStyle name="Normal 16 5" xfId="13827" xr:uid="{E7F12117-2A9C-431E-8A05-019701E65BDF}"/>
    <cellStyle name="Normal 16 6" xfId="22274" xr:uid="{10407F8A-A560-437F-BE49-01E1874C9728}"/>
    <cellStyle name="Normal 17" xfId="8728" xr:uid="{3FF0972C-833B-4475-99D8-1A6907499E71}"/>
    <cellStyle name="Normal 17 2" xfId="9157" xr:uid="{6C872296-5E17-4821-9139-E52AD113B06C}"/>
    <cellStyle name="Normal 17 3" xfId="9154" xr:uid="{DC3FF210-EC1F-47CE-8CCE-F8F5460671B1}"/>
    <cellStyle name="Normal 17 4" xfId="18053" xr:uid="{D8D24311-8EF0-410B-AAA8-AE7BF820823B}"/>
    <cellStyle name="Normal 17 5" xfId="26500" xr:uid="{DF33AE54-1103-429E-82B5-DF1E00651987}"/>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85752EB0-ADBB-4076-9F40-8070C0D794EA}"/>
    <cellStyle name="Normal 2 4 2 10 2 2 3" xfId="26244" xr:uid="{35CBFE0B-C3A8-4D1B-94D0-A69649F35174}"/>
    <cellStyle name="Normal 2 4 2 10 2 3" xfId="13580" xr:uid="{78566BFE-0142-4D06-A7D9-09E58B9A5DC4}"/>
    <cellStyle name="Normal 2 4 2 10 2 4" xfId="22027" xr:uid="{0E2D61FC-BEAE-45A2-BC78-674024A50B8C}"/>
    <cellStyle name="Normal 2 4 2 10 3" xfId="6326" xr:uid="{00000000-0005-0000-0000-0000910E0000}"/>
    <cellStyle name="Normal 2 4 2 10 3 2" xfId="15652" xr:uid="{5DB1BF49-8592-4376-A212-D5BC907DF50F}"/>
    <cellStyle name="Normal 2 4 2 10 3 3" xfId="24099" xr:uid="{5764EC24-8FD1-4F4F-9588-E2DB0D22AE57}"/>
    <cellStyle name="Normal 2 4 2 10 4" xfId="11435" xr:uid="{1C8AA358-D945-4946-B715-130C1B0300DB}"/>
    <cellStyle name="Normal 2 4 2 10 5" xfId="19882" xr:uid="{C871C10B-DAED-4035-A44E-8C7BA825C65F}"/>
    <cellStyle name="Normal 2 4 2 11" xfId="2456" xr:uid="{00000000-0005-0000-0000-0000920E0000}"/>
    <cellStyle name="Normal 2 4 2 11 2" xfId="6739" xr:uid="{00000000-0005-0000-0000-0000930E0000}"/>
    <cellStyle name="Normal 2 4 2 11 2 2" xfId="16065" xr:uid="{E34F4027-5701-4D1A-A999-D62D1157AED4}"/>
    <cellStyle name="Normal 2 4 2 11 2 3" xfId="24512" xr:uid="{D2F1B064-09DC-4CC8-A89D-BDCE2EF33C83}"/>
    <cellStyle name="Normal 2 4 2 11 3" xfId="11848" xr:uid="{8A066F48-590D-42B1-808F-F03424F9D4FD}"/>
    <cellStyle name="Normal 2 4 2 11 4" xfId="20295" xr:uid="{436332CE-6A8F-4197-97F4-955FF99AAED3}"/>
    <cellStyle name="Normal 2 4 2 12" xfId="4673" xr:uid="{00000000-0005-0000-0000-0000940E0000}"/>
    <cellStyle name="Normal 2 4 2 12 2" xfId="13999" xr:uid="{B1FA4210-B538-4A74-BBC0-CF99A4E0EAE4}"/>
    <cellStyle name="Normal 2 4 2 12 3" xfId="22446" xr:uid="{A8EF3DEC-4E93-407D-93B9-AC1248A0EB19}"/>
    <cellStyle name="Normal 2 4 2 13" xfId="8757" xr:uid="{563A76DD-F7DD-49F0-A61E-0419F4C31301}"/>
    <cellStyle name="Normal 2 4 2 14" xfId="9782" xr:uid="{32E13B34-A77A-4A3B-8BA6-4444204BFED9}"/>
    <cellStyle name="Normal 2 4 2 15" xfId="18229" xr:uid="{6329365D-B9D0-4C5C-ACC4-D7B864C486C7}"/>
    <cellStyle name="Normal 2 4 2 2" xfId="280" xr:uid="{00000000-0005-0000-0000-0000950E0000}"/>
    <cellStyle name="Normal 2 4 2 3" xfId="281" xr:uid="{00000000-0005-0000-0000-0000960E0000}"/>
    <cellStyle name="Normal 2 4 2 3 10" xfId="4674" xr:uid="{00000000-0005-0000-0000-0000970E0000}"/>
    <cellStyle name="Normal 2 4 2 3 10 2" xfId="14000" xr:uid="{F3D706DB-CBFF-46D9-82FE-52DD51AA790F}"/>
    <cellStyle name="Normal 2 4 2 3 10 3" xfId="22447" xr:uid="{C7F57EEB-16EF-46C6-84EE-A1F518F7F068}"/>
    <cellStyle name="Normal 2 4 2 3 11" xfId="8788" xr:uid="{EAD3D227-C8EF-4F54-8D24-EE1EA1F017BB}"/>
    <cellStyle name="Normal 2 4 2 3 12" xfId="9783" xr:uid="{C47A650E-E4D9-4D2A-8D8B-A7AF1467CDB9}"/>
    <cellStyle name="Normal 2 4 2 3 13" xfId="18230" xr:uid="{342B3794-5E2A-40B7-B406-A974CC91174E}"/>
    <cellStyle name="Normal 2 4 2 3 2" xfId="282" xr:uid="{00000000-0005-0000-0000-0000980E0000}"/>
    <cellStyle name="Normal 2 4 2 3 2 10" xfId="8813" xr:uid="{C03AE35D-2438-4E07-AE9C-6D04EC6DA2B7}"/>
    <cellStyle name="Normal 2 4 2 3 2 11" xfId="9784" xr:uid="{199B1B9F-CED0-451C-B1E8-960272F09969}"/>
    <cellStyle name="Normal 2 4 2 3 2 12" xfId="18231" xr:uid="{01AC99ED-660E-4BC6-8A7A-631F9F349050}"/>
    <cellStyle name="Normal 2 4 2 3 2 2" xfId="283" xr:uid="{00000000-0005-0000-0000-0000990E0000}"/>
    <cellStyle name="Normal 2 4 2 3 2 2 10" xfId="9785" xr:uid="{611F87C8-FDFC-4753-82A3-05EA03BC4E32}"/>
    <cellStyle name="Normal 2 4 2 3 2 2 11" xfId="18232" xr:uid="{A0111E64-BD50-48B2-A369-FF14A49A81B2}"/>
    <cellStyle name="Normal 2 4 2 3 2 2 2" xfId="284" xr:uid="{00000000-0005-0000-0000-00009A0E0000}"/>
    <cellStyle name="Normal 2 4 2 3 2 2 2 10" xfId="18233" xr:uid="{14603257-C0E7-4BBE-8B54-F4126B4887B6}"/>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3B694967-6660-40AB-848F-F4EEB8B4EA9B}"/>
    <cellStyle name="Normal 2 4 2 3 2 2 2 2 2 2 3" xfId="25009" xr:uid="{F61D3C98-B036-4300-9E4C-C3246421499C}"/>
    <cellStyle name="Normal 2 4 2 3 2 2 2 2 2 3" xfId="12345" xr:uid="{DE2BD783-0BF6-4559-867A-48254158C4C0}"/>
    <cellStyle name="Normal 2 4 2 3 2 2 2 2 2 4" xfId="20792" xr:uid="{0B8EC504-2D9F-44F8-AC67-76FA01240CE2}"/>
    <cellStyle name="Normal 2 4 2 3 2 2 2 2 3" xfId="5091" xr:uid="{00000000-0005-0000-0000-00009E0E0000}"/>
    <cellStyle name="Normal 2 4 2 3 2 2 2 2 3 2" xfId="14417" xr:uid="{E61905B8-5DE1-4BF6-BFB6-E92A4712F750}"/>
    <cellStyle name="Normal 2 4 2 3 2 2 2 2 3 3" xfId="22864" xr:uid="{8EC96968-BAF2-4BEC-9543-C349DE48FEE5}"/>
    <cellStyle name="Normal 2 4 2 3 2 2 2 2 4" xfId="9548" xr:uid="{29E7289E-B3F4-4F63-9B9C-B531B0E50CEB}"/>
    <cellStyle name="Normal 2 4 2 3 2 2 2 2 5" xfId="10200" xr:uid="{FADCD015-9CF2-4424-8FC6-547AD2766066}"/>
    <cellStyle name="Normal 2 4 2 3 2 2 2 2 6" xfId="18647" xr:uid="{EFB7A831-0A38-4BEA-A2F2-6900D06B4721}"/>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B5B46056-85C0-4F8E-B5CD-2A5DAAD385E9}"/>
    <cellStyle name="Normal 2 4 2 3 2 2 2 3 2 2 3" xfId="25422" xr:uid="{7CED57EB-01A0-40CD-906A-EF537D71049D}"/>
    <cellStyle name="Normal 2 4 2 3 2 2 2 3 2 3" xfId="12758" xr:uid="{3F46800F-AB89-4CD8-BE68-B95A91CDD889}"/>
    <cellStyle name="Normal 2 4 2 3 2 2 2 3 2 4" xfId="21205" xr:uid="{4193E16B-053E-4D6A-B329-B8C3CDC14E31}"/>
    <cellStyle name="Normal 2 4 2 3 2 2 2 3 3" xfId="5504" xr:uid="{00000000-0005-0000-0000-0000A20E0000}"/>
    <cellStyle name="Normal 2 4 2 3 2 2 2 3 3 2" xfId="14830" xr:uid="{C69BEC43-14BC-4F05-BBD0-AC7BC4E0D11A}"/>
    <cellStyle name="Normal 2 4 2 3 2 2 2 3 3 3" xfId="23277" xr:uid="{B052020C-8187-4708-8336-BC488AA10B3A}"/>
    <cellStyle name="Normal 2 4 2 3 2 2 2 3 4" xfId="10613" xr:uid="{70F478C2-23DF-4DC2-B941-B795014E5E7E}"/>
    <cellStyle name="Normal 2 4 2 3 2 2 2 3 5" xfId="19060" xr:uid="{842A5189-53B7-4651-815B-81F99D9F41B8}"/>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2CB114E0-0E6E-4C6C-86C1-0583C871C7F4}"/>
    <cellStyle name="Normal 2 4 2 3 2 2 2 4 2 2 3" xfId="25835" xr:uid="{5357AAE8-5F33-4DD7-BF3F-8BE28A76CC63}"/>
    <cellStyle name="Normal 2 4 2 3 2 2 2 4 2 3" xfId="13171" xr:uid="{A904E869-1321-44E2-82DE-94529C7321E0}"/>
    <cellStyle name="Normal 2 4 2 3 2 2 2 4 2 4" xfId="21618" xr:uid="{F2E52969-5730-4B40-A775-3D53F5F81FFB}"/>
    <cellStyle name="Normal 2 4 2 3 2 2 2 4 3" xfId="5917" xr:uid="{00000000-0005-0000-0000-0000A60E0000}"/>
    <cellStyle name="Normal 2 4 2 3 2 2 2 4 3 2" xfId="15243" xr:uid="{9C4665BE-D3ED-4C0B-8DFD-7A728564D8B8}"/>
    <cellStyle name="Normal 2 4 2 3 2 2 2 4 3 3" xfId="23690" xr:uid="{EF6A54A8-4B3C-45C2-AE02-100F0795BD61}"/>
    <cellStyle name="Normal 2 4 2 3 2 2 2 4 4" xfId="11026" xr:uid="{3431E176-6B39-44A5-8599-DBCED62B419D}"/>
    <cellStyle name="Normal 2 4 2 3 2 2 2 4 5" xfId="19473" xr:uid="{1EFEFB89-97DF-4D6B-8603-622A541E122C}"/>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A4FFDF7F-7DE0-48C1-BD43-CBCCE8398602}"/>
    <cellStyle name="Normal 2 4 2 3 2 2 2 5 2 2 3" xfId="26248" xr:uid="{2D1BBB69-EE6E-4C18-81ED-BEA025867535}"/>
    <cellStyle name="Normal 2 4 2 3 2 2 2 5 2 3" xfId="13584" xr:uid="{E7E7DE0F-BA41-422D-B841-6D631F9FAEFB}"/>
    <cellStyle name="Normal 2 4 2 3 2 2 2 5 2 4" xfId="22031" xr:uid="{8ECCC663-CEBB-424F-A3D0-8F6531786681}"/>
    <cellStyle name="Normal 2 4 2 3 2 2 2 5 3" xfId="6330" xr:uid="{00000000-0005-0000-0000-0000AA0E0000}"/>
    <cellStyle name="Normal 2 4 2 3 2 2 2 5 3 2" xfId="15656" xr:uid="{A6881CBB-5BE7-4285-8E25-38D6A5A392CD}"/>
    <cellStyle name="Normal 2 4 2 3 2 2 2 5 3 3" xfId="24103" xr:uid="{7DA81975-9E91-428E-85F4-C6CC89EBAB0D}"/>
    <cellStyle name="Normal 2 4 2 3 2 2 2 5 4" xfId="11439" xr:uid="{A38382FA-1E2E-46D0-B1F8-45F3C7F74EEE}"/>
    <cellStyle name="Normal 2 4 2 3 2 2 2 5 5" xfId="19886" xr:uid="{684D4931-F04F-4CBE-87A5-4E155592386D}"/>
    <cellStyle name="Normal 2 4 2 3 2 2 2 6" xfId="2460" xr:uid="{00000000-0005-0000-0000-0000AB0E0000}"/>
    <cellStyle name="Normal 2 4 2 3 2 2 2 6 2" xfId="6743" xr:uid="{00000000-0005-0000-0000-0000AC0E0000}"/>
    <cellStyle name="Normal 2 4 2 3 2 2 2 6 2 2" xfId="16069" xr:uid="{94A64836-E0FA-47AE-977B-42F9DD81F864}"/>
    <cellStyle name="Normal 2 4 2 3 2 2 2 6 2 3" xfId="24516" xr:uid="{88A1B926-9795-44C3-8596-AC5B7243B407}"/>
    <cellStyle name="Normal 2 4 2 3 2 2 2 6 3" xfId="11852" xr:uid="{327B0171-7692-4796-AF71-DC2BB0CFB452}"/>
    <cellStyle name="Normal 2 4 2 3 2 2 2 6 4" xfId="20299" xr:uid="{4449EFE4-7380-4570-AF9C-76E102A08C55}"/>
    <cellStyle name="Normal 2 4 2 3 2 2 2 7" xfId="4677" xr:uid="{00000000-0005-0000-0000-0000AD0E0000}"/>
    <cellStyle name="Normal 2 4 2 3 2 2 2 7 2" xfId="14003" xr:uid="{0407D0D2-7272-4A1C-A0C8-173B262DEC69}"/>
    <cellStyle name="Normal 2 4 2 3 2 2 2 7 3" xfId="22450" xr:uid="{1B29FD2C-20FF-4449-A010-9A7050823B75}"/>
    <cellStyle name="Normal 2 4 2 3 2 2 2 8" xfId="9123" xr:uid="{9F0183A9-880D-46D9-BB7D-5696E4723F5F}"/>
    <cellStyle name="Normal 2 4 2 3 2 2 2 9" xfId="9786" xr:uid="{6736CD22-A54B-43C2-BCBE-985DF5566B03}"/>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1328276C-5E88-4A87-AE20-5955B37D467B}"/>
    <cellStyle name="Normal 2 4 2 3 2 2 3 2 2 3" xfId="25008" xr:uid="{6C89C747-1CEC-401F-891D-FB3373DF9B2E}"/>
    <cellStyle name="Normal 2 4 2 3 2 2 3 2 3" xfId="12344" xr:uid="{695057F7-7983-475D-B0FA-B3E0DFF5BB8F}"/>
    <cellStyle name="Normal 2 4 2 3 2 2 3 2 4" xfId="20791" xr:uid="{53AA9CEE-854D-45F3-91CA-0ED3BDBADE02}"/>
    <cellStyle name="Normal 2 4 2 3 2 2 3 3" xfId="5090" xr:uid="{00000000-0005-0000-0000-0000B10E0000}"/>
    <cellStyle name="Normal 2 4 2 3 2 2 3 3 2" xfId="14416" xr:uid="{67F8C816-AD3F-405D-98B1-2C494EA58D14}"/>
    <cellStyle name="Normal 2 4 2 3 2 2 3 3 3" xfId="22863" xr:uid="{1113C9F2-315D-4363-99A8-49B900123EC0}"/>
    <cellStyle name="Normal 2 4 2 3 2 2 3 4" xfId="9341" xr:uid="{4F113FF5-050D-47D1-A7D5-F829C93D993D}"/>
    <cellStyle name="Normal 2 4 2 3 2 2 3 5" xfId="10199" xr:uid="{D11BE900-3DFB-4C37-B678-56950D252E37}"/>
    <cellStyle name="Normal 2 4 2 3 2 2 3 6" xfId="18646" xr:uid="{34677E06-A296-48C8-8019-AF263E344559}"/>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B2EB19BA-24D9-4413-83C3-62AD71E07374}"/>
    <cellStyle name="Normal 2 4 2 3 2 2 4 2 2 3" xfId="25421" xr:uid="{F9DBF5A2-9FB5-46E3-8763-45C0143ABB02}"/>
    <cellStyle name="Normal 2 4 2 3 2 2 4 2 3" xfId="12757" xr:uid="{6323F89D-E823-4DD4-A8B8-5EC6DA4E96B7}"/>
    <cellStyle name="Normal 2 4 2 3 2 2 4 2 4" xfId="21204" xr:uid="{AC966620-9D62-4B30-9C20-BD240F9EE298}"/>
    <cellStyle name="Normal 2 4 2 3 2 2 4 3" xfId="5503" xr:uid="{00000000-0005-0000-0000-0000B50E0000}"/>
    <cellStyle name="Normal 2 4 2 3 2 2 4 3 2" xfId="14829" xr:uid="{FE9334B7-5957-419D-84C4-0465124F84CB}"/>
    <cellStyle name="Normal 2 4 2 3 2 2 4 3 3" xfId="23276" xr:uid="{DE1EE9EC-3068-4F33-B68C-A70543202A09}"/>
    <cellStyle name="Normal 2 4 2 3 2 2 4 4" xfId="10612" xr:uid="{7FEE033C-24D2-4C27-9432-A2A25714B0C5}"/>
    <cellStyle name="Normal 2 4 2 3 2 2 4 5" xfId="19059" xr:uid="{262EC650-2CBE-4372-ABAF-5E885C3478E5}"/>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793BD6D3-583F-451F-B020-7505B80788B4}"/>
    <cellStyle name="Normal 2 4 2 3 2 2 5 2 2 3" xfId="25834" xr:uid="{DB8F7A5D-A04A-4F95-A7EF-D0863870902A}"/>
    <cellStyle name="Normal 2 4 2 3 2 2 5 2 3" xfId="13170" xr:uid="{DED87C88-80ED-498B-965C-D90B683871AF}"/>
    <cellStyle name="Normal 2 4 2 3 2 2 5 2 4" xfId="21617" xr:uid="{4A3B02EA-1166-4DBA-A853-2A6AC35826F2}"/>
    <cellStyle name="Normal 2 4 2 3 2 2 5 3" xfId="5916" xr:uid="{00000000-0005-0000-0000-0000B90E0000}"/>
    <cellStyle name="Normal 2 4 2 3 2 2 5 3 2" xfId="15242" xr:uid="{2496D6F5-A726-4C2B-B1CB-E31B5D86F416}"/>
    <cellStyle name="Normal 2 4 2 3 2 2 5 3 3" xfId="23689" xr:uid="{B1F0FBB8-A8E5-45DB-A2CE-11BEAEE87428}"/>
    <cellStyle name="Normal 2 4 2 3 2 2 5 4" xfId="11025" xr:uid="{68FF90DD-14C9-46B4-93B0-1D128F81CD01}"/>
    <cellStyle name="Normal 2 4 2 3 2 2 5 5" xfId="19472" xr:uid="{8E81AB4C-C5A3-4EE9-83EF-F69293D34D5C}"/>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574A359F-5EBB-456C-877E-04473D09804D}"/>
    <cellStyle name="Normal 2 4 2 3 2 2 6 2 2 3" xfId="26247" xr:uid="{92752C5A-D0C4-4AE2-97A6-B8588FAC9B21}"/>
    <cellStyle name="Normal 2 4 2 3 2 2 6 2 3" xfId="13583" xr:uid="{364F2E67-B061-4F03-A966-FD73283C615B}"/>
    <cellStyle name="Normal 2 4 2 3 2 2 6 2 4" xfId="22030" xr:uid="{83FF054D-DB68-4952-A5F9-04B3D2D32745}"/>
    <cellStyle name="Normal 2 4 2 3 2 2 6 3" xfId="6329" xr:uid="{00000000-0005-0000-0000-0000BD0E0000}"/>
    <cellStyle name="Normal 2 4 2 3 2 2 6 3 2" xfId="15655" xr:uid="{E99CF59F-4A6F-4E1A-BCC8-2A30C501E6AE}"/>
    <cellStyle name="Normal 2 4 2 3 2 2 6 3 3" xfId="24102" xr:uid="{BFC52255-2DB5-4308-AE28-03585F6845F0}"/>
    <cellStyle name="Normal 2 4 2 3 2 2 6 4" xfId="11438" xr:uid="{1515043E-2671-4ABB-BC7C-C709443D3C4A}"/>
    <cellStyle name="Normal 2 4 2 3 2 2 6 5" xfId="19885" xr:uid="{C82EF2A3-6E39-4038-BF71-DA0BDD7DC5C0}"/>
    <cellStyle name="Normal 2 4 2 3 2 2 7" xfId="2459" xr:uid="{00000000-0005-0000-0000-0000BE0E0000}"/>
    <cellStyle name="Normal 2 4 2 3 2 2 7 2" xfId="6742" xr:uid="{00000000-0005-0000-0000-0000BF0E0000}"/>
    <cellStyle name="Normal 2 4 2 3 2 2 7 2 2" xfId="16068" xr:uid="{DF6E351C-E2F1-4491-A599-DB43CA245C46}"/>
    <cellStyle name="Normal 2 4 2 3 2 2 7 2 3" xfId="24515" xr:uid="{3D60C4C1-666F-4D78-9B9E-7CDAC20B1BEB}"/>
    <cellStyle name="Normal 2 4 2 3 2 2 7 3" xfId="11851" xr:uid="{715877DD-E1BB-410F-82BE-F88747E9F06C}"/>
    <cellStyle name="Normal 2 4 2 3 2 2 7 4" xfId="20298" xr:uid="{7D7DB391-48B3-450F-9CAE-9CD3D94CBEC4}"/>
    <cellStyle name="Normal 2 4 2 3 2 2 8" xfId="4676" xr:uid="{00000000-0005-0000-0000-0000C00E0000}"/>
    <cellStyle name="Normal 2 4 2 3 2 2 8 2" xfId="14002" xr:uid="{96528ABB-BAED-4651-8A3A-DA035DAE521F}"/>
    <cellStyle name="Normal 2 4 2 3 2 2 8 3" xfId="22449" xr:uid="{0761954F-EFD4-49C4-8926-BFB930BDB5A5}"/>
    <cellStyle name="Normal 2 4 2 3 2 2 9" xfId="8916" xr:uid="{1EF18CC7-44BB-43EB-8DB6-D193CEF128C1}"/>
    <cellStyle name="Normal 2 4 2 3 2 3" xfId="285" xr:uid="{00000000-0005-0000-0000-0000C10E0000}"/>
    <cellStyle name="Normal 2 4 2 3 2 3 10" xfId="18234" xr:uid="{1688D843-542F-4DD9-9DE4-C3E70FADCBAE}"/>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256B13E7-B72B-48FB-BF58-1AE6B35CA890}"/>
    <cellStyle name="Normal 2 4 2 3 2 3 2 2 2 3" xfId="25010" xr:uid="{B5A99C69-4EAC-492C-B3AE-9400D0B02B27}"/>
    <cellStyle name="Normal 2 4 2 3 2 3 2 2 3" xfId="12346" xr:uid="{7848921E-97E0-4F18-8170-0B7A913445C6}"/>
    <cellStyle name="Normal 2 4 2 3 2 3 2 2 4" xfId="20793" xr:uid="{8B17385D-F062-4831-9D7E-C6CB82A2D0E4}"/>
    <cellStyle name="Normal 2 4 2 3 2 3 2 3" xfId="5092" xr:uid="{00000000-0005-0000-0000-0000C50E0000}"/>
    <cellStyle name="Normal 2 4 2 3 2 3 2 3 2" xfId="14418" xr:uid="{059D71AD-8A47-47C4-AD5A-7A1B1B266931}"/>
    <cellStyle name="Normal 2 4 2 3 2 3 2 3 3" xfId="22865" xr:uid="{A59C75C7-5D94-4598-BEB0-7812B78E98CD}"/>
    <cellStyle name="Normal 2 4 2 3 2 3 2 4" xfId="9445" xr:uid="{67F9E33C-8554-469D-8D7A-1147F632F3B0}"/>
    <cellStyle name="Normal 2 4 2 3 2 3 2 5" xfId="10201" xr:uid="{C4619008-B2C3-4F05-9010-366B6058BA42}"/>
    <cellStyle name="Normal 2 4 2 3 2 3 2 6" xfId="18648" xr:uid="{17323C65-F66D-4386-8BD4-6ABE7F1FA2C1}"/>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37870FA8-9799-4188-9FE0-12A75FDC43BE}"/>
    <cellStyle name="Normal 2 4 2 3 2 3 3 2 2 3" xfId="25423" xr:uid="{CF51E9AE-62FD-4438-AE6C-098C3A444867}"/>
    <cellStyle name="Normal 2 4 2 3 2 3 3 2 3" xfId="12759" xr:uid="{8985DF12-DCB1-4125-81EF-45EFEDF15083}"/>
    <cellStyle name="Normal 2 4 2 3 2 3 3 2 4" xfId="21206" xr:uid="{C501F608-7C36-4B11-A996-F1CB43BF1AAE}"/>
    <cellStyle name="Normal 2 4 2 3 2 3 3 3" xfId="5505" xr:uid="{00000000-0005-0000-0000-0000C90E0000}"/>
    <cellStyle name="Normal 2 4 2 3 2 3 3 3 2" xfId="14831" xr:uid="{A614D58A-5EE2-46A6-9DF6-E5F19788D50A}"/>
    <cellStyle name="Normal 2 4 2 3 2 3 3 3 3" xfId="23278" xr:uid="{0ED184D1-E896-4978-9289-568950F15293}"/>
    <cellStyle name="Normal 2 4 2 3 2 3 3 4" xfId="10614" xr:uid="{BCB8D94C-89B8-4E55-9B4A-E87700873FDE}"/>
    <cellStyle name="Normal 2 4 2 3 2 3 3 5" xfId="19061" xr:uid="{8A48ED51-6DA0-4900-9026-3A4F00B47817}"/>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A5595D71-A7EC-4142-B0D1-B949CC338CD9}"/>
    <cellStyle name="Normal 2 4 2 3 2 3 4 2 2 3" xfId="25836" xr:uid="{2CC600EF-FBA9-4DCB-8CB2-210CD0DA4A6A}"/>
    <cellStyle name="Normal 2 4 2 3 2 3 4 2 3" xfId="13172" xr:uid="{0AC8D61A-E1BE-421E-A101-CF1404AAE3AE}"/>
    <cellStyle name="Normal 2 4 2 3 2 3 4 2 4" xfId="21619" xr:uid="{09CB7A3A-8D74-48CF-B19C-018A1A7C7D20}"/>
    <cellStyle name="Normal 2 4 2 3 2 3 4 3" xfId="5918" xr:uid="{00000000-0005-0000-0000-0000CD0E0000}"/>
    <cellStyle name="Normal 2 4 2 3 2 3 4 3 2" xfId="15244" xr:uid="{AF929858-4B4F-4E13-B555-618EAABE838E}"/>
    <cellStyle name="Normal 2 4 2 3 2 3 4 3 3" xfId="23691" xr:uid="{A3492258-79B2-422C-98C0-4E7C07BD8F3F}"/>
    <cellStyle name="Normal 2 4 2 3 2 3 4 4" xfId="11027" xr:uid="{77595807-0227-4DC5-A221-E4F4E6D47AFE}"/>
    <cellStyle name="Normal 2 4 2 3 2 3 4 5" xfId="19474" xr:uid="{8280870A-079F-412E-AF4D-E33AD7828989}"/>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6D06B060-23EC-4E0B-B18C-C8727ADF0759}"/>
    <cellStyle name="Normal 2 4 2 3 2 3 5 2 2 3" xfId="26249" xr:uid="{AC2C0CC9-D3D2-450D-90C7-15DED275BA6A}"/>
    <cellStyle name="Normal 2 4 2 3 2 3 5 2 3" xfId="13585" xr:uid="{13DF381E-EC9E-45E9-8F4C-67B79CC31256}"/>
    <cellStyle name="Normal 2 4 2 3 2 3 5 2 4" xfId="22032" xr:uid="{F59060B4-3C24-4D76-895D-1D9F2ED8E908}"/>
    <cellStyle name="Normal 2 4 2 3 2 3 5 3" xfId="6331" xr:uid="{00000000-0005-0000-0000-0000D10E0000}"/>
    <cellStyle name="Normal 2 4 2 3 2 3 5 3 2" xfId="15657" xr:uid="{8ACF8FFD-F352-4EB6-85AF-1FC47BA2153F}"/>
    <cellStyle name="Normal 2 4 2 3 2 3 5 3 3" xfId="24104" xr:uid="{CBDE99A2-1A4A-495A-8092-961DAC0E0E01}"/>
    <cellStyle name="Normal 2 4 2 3 2 3 5 4" xfId="11440" xr:uid="{85E601E6-7C4E-4AB2-A49A-E8AB025515C2}"/>
    <cellStyle name="Normal 2 4 2 3 2 3 5 5" xfId="19887" xr:uid="{C4874C54-391D-4603-9174-630B39AA82BB}"/>
    <cellStyle name="Normal 2 4 2 3 2 3 6" xfId="2461" xr:uid="{00000000-0005-0000-0000-0000D20E0000}"/>
    <cellStyle name="Normal 2 4 2 3 2 3 6 2" xfId="6744" xr:uid="{00000000-0005-0000-0000-0000D30E0000}"/>
    <cellStyle name="Normal 2 4 2 3 2 3 6 2 2" xfId="16070" xr:uid="{11F0AC0D-0C71-404D-B156-B4C8E6B85029}"/>
    <cellStyle name="Normal 2 4 2 3 2 3 6 2 3" xfId="24517" xr:uid="{98EE0901-3028-48FE-93B3-EE7A2C8D8B90}"/>
    <cellStyle name="Normal 2 4 2 3 2 3 6 3" xfId="11853" xr:uid="{A103D196-37FA-4774-BB67-4A935C1F9CF7}"/>
    <cellStyle name="Normal 2 4 2 3 2 3 6 4" xfId="20300" xr:uid="{7D37289D-5D42-4256-95FB-26E264A8D641}"/>
    <cellStyle name="Normal 2 4 2 3 2 3 7" xfId="4678" xr:uid="{00000000-0005-0000-0000-0000D40E0000}"/>
    <cellStyle name="Normal 2 4 2 3 2 3 7 2" xfId="14004" xr:uid="{FD952FFD-4E6F-4402-ADB9-21A8636A871D}"/>
    <cellStyle name="Normal 2 4 2 3 2 3 7 3" xfId="22451" xr:uid="{44FED006-1107-4F7E-8F31-335F6FCB5ED9}"/>
    <cellStyle name="Normal 2 4 2 3 2 3 8" xfId="9020" xr:uid="{5718F785-8E2C-4B45-91D1-4597173D90A6}"/>
    <cellStyle name="Normal 2 4 2 3 2 3 9" xfId="9787" xr:uid="{CEB4EC37-CA7B-44FA-A88C-AAB314670034}"/>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E4885D6D-977E-4BFD-8735-5859B3EC9ED6}"/>
    <cellStyle name="Normal 2 4 2 3 2 4 2 2 3" xfId="25007" xr:uid="{C985D5ED-C731-4425-8A59-C00822FE155C}"/>
    <cellStyle name="Normal 2 4 2 3 2 4 2 3" xfId="12343" xr:uid="{1113BEDF-A282-474B-A1C4-8DA6FC904F0D}"/>
    <cellStyle name="Normal 2 4 2 3 2 4 2 4" xfId="20790" xr:uid="{BC735345-566C-4829-9427-8E8B9DCF58B5}"/>
    <cellStyle name="Normal 2 4 2 3 2 4 3" xfId="5089" xr:uid="{00000000-0005-0000-0000-0000D80E0000}"/>
    <cellStyle name="Normal 2 4 2 3 2 4 3 2" xfId="14415" xr:uid="{3C688A7B-1078-49DD-9CB6-43306AB003AE}"/>
    <cellStyle name="Normal 2 4 2 3 2 4 3 3" xfId="22862" xr:uid="{D3301204-1C1C-45EB-BEC7-F2F9CB0CCF5B}"/>
    <cellStyle name="Normal 2 4 2 3 2 4 4" xfId="9238" xr:uid="{BC6E5A3D-C256-46E9-A109-D643C24AA206}"/>
    <cellStyle name="Normal 2 4 2 3 2 4 5" xfId="10198" xr:uid="{A227154E-0185-45FA-912A-099636C2879D}"/>
    <cellStyle name="Normal 2 4 2 3 2 4 6" xfId="18645" xr:uid="{2ECCBDD5-6EB7-4813-BBD4-CCA5257E042A}"/>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B5D2F8BD-8BB2-4C37-9174-E4A30486E2CF}"/>
    <cellStyle name="Normal 2 4 2 3 2 5 2 2 3" xfId="25420" xr:uid="{B9576FD6-3AE0-4B72-ACFC-B3923CA2F583}"/>
    <cellStyle name="Normal 2 4 2 3 2 5 2 3" xfId="12756" xr:uid="{AE26E6DB-4B6E-4D20-BA87-2466658B0F36}"/>
    <cellStyle name="Normal 2 4 2 3 2 5 2 4" xfId="21203" xr:uid="{C80FF0E1-5DC7-42F4-A096-23FE730AF020}"/>
    <cellStyle name="Normal 2 4 2 3 2 5 3" xfId="5502" xr:uid="{00000000-0005-0000-0000-0000DC0E0000}"/>
    <cellStyle name="Normal 2 4 2 3 2 5 3 2" xfId="14828" xr:uid="{71C2C7BC-F33E-4987-9EDA-EC071DB8A19C}"/>
    <cellStyle name="Normal 2 4 2 3 2 5 3 3" xfId="23275" xr:uid="{25899A6E-1D0A-4702-8869-9CA6AF13D309}"/>
    <cellStyle name="Normal 2 4 2 3 2 5 4" xfId="10611" xr:uid="{072A1BEB-6506-4413-80FF-FA3BB5F6CD3C}"/>
    <cellStyle name="Normal 2 4 2 3 2 5 5" xfId="19058" xr:uid="{8D1D464A-0142-4048-BC5C-CFDB7FE6B5AB}"/>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C79E1F7D-8B1E-4FE1-8194-31055D3815E1}"/>
    <cellStyle name="Normal 2 4 2 3 2 6 2 2 3" xfId="25833" xr:uid="{0177681F-8A69-43A0-B34F-AE07977C2E59}"/>
    <cellStyle name="Normal 2 4 2 3 2 6 2 3" xfId="13169" xr:uid="{65DF11AF-6A4C-4D7F-AB2E-6D592E474CD3}"/>
    <cellStyle name="Normal 2 4 2 3 2 6 2 4" xfId="21616" xr:uid="{3881FD8D-5D44-4584-A157-43B353BF7C1A}"/>
    <cellStyle name="Normal 2 4 2 3 2 6 3" xfId="5915" xr:uid="{00000000-0005-0000-0000-0000E00E0000}"/>
    <cellStyle name="Normal 2 4 2 3 2 6 3 2" xfId="15241" xr:uid="{D243D0C9-53A9-4368-B491-86C0A3E7F4E3}"/>
    <cellStyle name="Normal 2 4 2 3 2 6 3 3" xfId="23688" xr:uid="{37579457-9F09-4725-B5BA-C9736596606B}"/>
    <cellStyle name="Normal 2 4 2 3 2 6 4" xfId="11024" xr:uid="{6C333904-9E07-4D60-95FC-4017AC9A485F}"/>
    <cellStyle name="Normal 2 4 2 3 2 6 5" xfId="19471" xr:uid="{DF5AC223-A513-4BC8-91A4-3B95FEBFEA7B}"/>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D3D80E2E-4636-48B6-92D7-61FB1A585EE4}"/>
    <cellStyle name="Normal 2 4 2 3 2 7 2 2 3" xfId="26246" xr:uid="{EE749569-C7AA-4BC4-8354-4B242BEDC15C}"/>
    <cellStyle name="Normal 2 4 2 3 2 7 2 3" xfId="13582" xr:uid="{44E78D70-F5D2-4298-803C-F6F70C622609}"/>
    <cellStyle name="Normal 2 4 2 3 2 7 2 4" xfId="22029" xr:uid="{DCAD4F4E-1416-4D46-B6DA-1EB735F27948}"/>
    <cellStyle name="Normal 2 4 2 3 2 7 3" xfId="6328" xr:uid="{00000000-0005-0000-0000-0000E40E0000}"/>
    <cellStyle name="Normal 2 4 2 3 2 7 3 2" xfId="15654" xr:uid="{03CF05CA-09FA-4CF8-9387-BE066F46B4CC}"/>
    <cellStyle name="Normal 2 4 2 3 2 7 3 3" xfId="24101" xr:uid="{08941F40-189B-46B4-822D-35B5C1C8FB2E}"/>
    <cellStyle name="Normal 2 4 2 3 2 7 4" xfId="11437" xr:uid="{4449F427-E116-445B-9614-DB651A4348CF}"/>
    <cellStyle name="Normal 2 4 2 3 2 7 5" xfId="19884" xr:uid="{F0B9B249-ED1F-46BE-BE66-A63D496817D3}"/>
    <cellStyle name="Normal 2 4 2 3 2 8" xfId="2458" xr:uid="{00000000-0005-0000-0000-0000E50E0000}"/>
    <cellStyle name="Normal 2 4 2 3 2 8 2" xfId="6741" xr:uid="{00000000-0005-0000-0000-0000E60E0000}"/>
    <cellStyle name="Normal 2 4 2 3 2 8 2 2" xfId="16067" xr:uid="{6BF23FB8-E969-4961-B1D5-969DACE206C8}"/>
    <cellStyle name="Normal 2 4 2 3 2 8 2 3" xfId="24514" xr:uid="{D91B0E85-DF54-4041-B88E-1047EE181355}"/>
    <cellStyle name="Normal 2 4 2 3 2 8 3" xfId="11850" xr:uid="{5CFFD4C3-64C2-4EB4-ADA7-ED18DC592F70}"/>
    <cellStyle name="Normal 2 4 2 3 2 8 4" xfId="20297" xr:uid="{4401001A-A87B-4BBF-B912-28E14E0590BA}"/>
    <cellStyle name="Normal 2 4 2 3 2 9" xfId="4675" xr:uid="{00000000-0005-0000-0000-0000E70E0000}"/>
    <cellStyle name="Normal 2 4 2 3 2 9 2" xfId="14001" xr:uid="{0C5165B7-098D-4F5E-A6DE-F5C02F738076}"/>
    <cellStyle name="Normal 2 4 2 3 2 9 3" xfId="22448" xr:uid="{8A24F827-80E7-48BB-8371-30AC7EA15D71}"/>
    <cellStyle name="Normal 2 4 2 3 3" xfId="286" xr:uid="{00000000-0005-0000-0000-0000E80E0000}"/>
    <cellStyle name="Normal 2 4 2 3 3 10" xfId="9788" xr:uid="{1E14D977-39A8-4EC0-BC41-297F14E705A3}"/>
    <cellStyle name="Normal 2 4 2 3 3 11" xfId="18235" xr:uid="{C754EFF6-81B4-43F9-99B1-B0F7A3EEE3B3}"/>
    <cellStyle name="Normal 2 4 2 3 3 2" xfId="287" xr:uid="{00000000-0005-0000-0000-0000E90E0000}"/>
    <cellStyle name="Normal 2 4 2 3 3 2 10" xfId="18236" xr:uid="{CC471524-D4A7-4FDB-8C09-54E208580E03}"/>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B92D39D9-55BF-41FB-8943-5B41BE6ED42C}"/>
    <cellStyle name="Normal 2 4 2 3 3 2 2 2 2 3" xfId="25012" xr:uid="{7642ADA5-93A3-4DB3-85A5-E43E38844030}"/>
    <cellStyle name="Normal 2 4 2 3 3 2 2 2 3" xfId="12348" xr:uid="{227ED5E2-0836-40F0-9FBA-3A35AAEEAD6E}"/>
    <cellStyle name="Normal 2 4 2 3 3 2 2 2 4" xfId="20795" xr:uid="{FE9FC1E6-0009-4284-8FB8-0695474331B1}"/>
    <cellStyle name="Normal 2 4 2 3 3 2 2 3" xfId="5094" xr:uid="{00000000-0005-0000-0000-0000ED0E0000}"/>
    <cellStyle name="Normal 2 4 2 3 3 2 2 3 2" xfId="14420" xr:uid="{623424C3-FD45-4752-A132-46BEE424DDAE}"/>
    <cellStyle name="Normal 2 4 2 3 3 2 2 3 3" xfId="22867" xr:uid="{FD578274-FC8D-4E87-8836-28541A3BBAA7}"/>
    <cellStyle name="Normal 2 4 2 3 3 2 2 4" xfId="9523" xr:uid="{49BCB42B-3FEB-4D87-8E20-52FE775F87DD}"/>
    <cellStyle name="Normal 2 4 2 3 3 2 2 5" xfId="10203" xr:uid="{A5505E62-D577-49F9-A731-AD8865E75FB1}"/>
    <cellStyle name="Normal 2 4 2 3 3 2 2 6" xfId="18650" xr:uid="{22A49B05-82C3-4BBD-82F3-8BFA4CE15FE9}"/>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7318C0D4-81F2-4BB0-AE47-0FFE347BB3BF}"/>
    <cellStyle name="Normal 2 4 2 3 3 2 3 2 2 3" xfId="25425" xr:uid="{9384C41D-EE9F-45E5-B824-B3DD31141C22}"/>
    <cellStyle name="Normal 2 4 2 3 3 2 3 2 3" xfId="12761" xr:uid="{CC37B11D-8FF5-4098-AD6A-C1F6B2DDC4DB}"/>
    <cellStyle name="Normal 2 4 2 3 3 2 3 2 4" xfId="21208" xr:uid="{26E6C942-AA75-4BEA-BD3B-E08BA36C0575}"/>
    <cellStyle name="Normal 2 4 2 3 3 2 3 3" xfId="5507" xr:uid="{00000000-0005-0000-0000-0000F10E0000}"/>
    <cellStyle name="Normal 2 4 2 3 3 2 3 3 2" xfId="14833" xr:uid="{E22BD71C-19D8-4BB1-A330-68A0E99C096B}"/>
    <cellStyle name="Normal 2 4 2 3 3 2 3 3 3" xfId="23280" xr:uid="{649A7050-3705-4C18-8531-7D5D115848BA}"/>
    <cellStyle name="Normal 2 4 2 3 3 2 3 4" xfId="10616" xr:uid="{2879EF97-3FB8-4DFA-948D-9072376EC3E8}"/>
    <cellStyle name="Normal 2 4 2 3 3 2 3 5" xfId="19063" xr:uid="{6044AC67-C79B-4543-A04C-5832DA2A63F8}"/>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31E574C0-6164-4184-BF8A-06643E0014D1}"/>
    <cellStyle name="Normal 2 4 2 3 3 2 4 2 2 3" xfId="25838" xr:uid="{EDC1F6EC-F0A7-4D84-A8D2-1B0E012D7A2E}"/>
    <cellStyle name="Normal 2 4 2 3 3 2 4 2 3" xfId="13174" xr:uid="{EE4D420F-38B1-4D87-8789-10E97B5A0E94}"/>
    <cellStyle name="Normal 2 4 2 3 3 2 4 2 4" xfId="21621" xr:uid="{A7DE7477-500E-4E54-90C6-72937E1F9FCB}"/>
    <cellStyle name="Normal 2 4 2 3 3 2 4 3" xfId="5920" xr:uid="{00000000-0005-0000-0000-0000F50E0000}"/>
    <cellStyle name="Normal 2 4 2 3 3 2 4 3 2" xfId="15246" xr:uid="{5D3E79D0-E995-44A0-977B-2D08A29EC094}"/>
    <cellStyle name="Normal 2 4 2 3 3 2 4 3 3" xfId="23693" xr:uid="{ABF9805A-E332-4D64-83F1-75840C1313C8}"/>
    <cellStyle name="Normal 2 4 2 3 3 2 4 4" xfId="11029" xr:uid="{1DF64EE9-8F33-4EA3-BE2D-A7889BA9D628}"/>
    <cellStyle name="Normal 2 4 2 3 3 2 4 5" xfId="19476" xr:uid="{8692E4BE-F5C1-4173-B971-10C3049827D5}"/>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E6938372-FD2B-4E3D-B431-F196575BB163}"/>
    <cellStyle name="Normal 2 4 2 3 3 2 5 2 2 3" xfId="26251" xr:uid="{53C588CD-5EFC-4DC7-8645-6E809E3BECF0}"/>
    <cellStyle name="Normal 2 4 2 3 3 2 5 2 3" xfId="13587" xr:uid="{9B0A4925-2347-47E7-9A09-C6F7BB82A994}"/>
    <cellStyle name="Normal 2 4 2 3 3 2 5 2 4" xfId="22034" xr:uid="{BBA8B794-F5E7-4867-960C-AD7FEEEEE5E4}"/>
    <cellStyle name="Normal 2 4 2 3 3 2 5 3" xfId="6333" xr:uid="{00000000-0005-0000-0000-0000F90E0000}"/>
    <cellStyle name="Normal 2 4 2 3 3 2 5 3 2" xfId="15659" xr:uid="{79999D17-37AF-4D90-AA5D-727B6C444A9F}"/>
    <cellStyle name="Normal 2 4 2 3 3 2 5 3 3" xfId="24106" xr:uid="{E76E11D3-6EAD-4CF1-BFDB-854B81813157}"/>
    <cellStyle name="Normal 2 4 2 3 3 2 5 4" xfId="11442" xr:uid="{7BB2AAEE-AB4D-46D5-AFD6-E27947E8C874}"/>
    <cellStyle name="Normal 2 4 2 3 3 2 5 5" xfId="19889" xr:uid="{4005CBC6-942D-461D-89CF-0A315B27C9D3}"/>
    <cellStyle name="Normal 2 4 2 3 3 2 6" xfId="2463" xr:uid="{00000000-0005-0000-0000-0000FA0E0000}"/>
    <cellStyle name="Normal 2 4 2 3 3 2 6 2" xfId="6746" xr:uid="{00000000-0005-0000-0000-0000FB0E0000}"/>
    <cellStyle name="Normal 2 4 2 3 3 2 6 2 2" xfId="16072" xr:uid="{C1D8DCC8-8390-46AF-BC99-2C1313D4968B}"/>
    <cellStyle name="Normal 2 4 2 3 3 2 6 2 3" xfId="24519" xr:uid="{62C80411-EC85-40B1-9E56-7E4A6AE07810}"/>
    <cellStyle name="Normal 2 4 2 3 3 2 6 3" xfId="11855" xr:uid="{4DF93553-623C-4494-A4FD-76C1CF9C357B}"/>
    <cellStyle name="Normal 2 4 2 3 3 2 6 4" xfId="20302" xr:uid="{3BE43227-A872-4FFA-A2AF-3DC6ACF55018}"/>
    <cellStyle name="Normal 2 4 2 3 3 2 7" xfId="4680" xr:uid="{00000000-0005-0000-0000-0000FC0E0000}"/>
    <cellStyle name="Normal 2 4 2 3 3 2 7 2" xfId="14006" xr:uid="{7C395772-55A8-4A9B-8CB6-92F42C50BF8D}"/>
    <cellStyle name="Normal 2 4 2 3 3 2 7 3" xfId="22453" xr:uid="{94AAF174-2851-4A0C-BF99-5FFA41A34217}"/>
    <cellStyle name="Normal 2 4 2 3 3 2 8" xfId="9098" xr:uid="{15335B31-FFDD-479D-88EC-FAB83DC4E6EC}"/>
    <cellStyle name="Normal 2 4 2 3 3 2 9" xfId="9789" xr:uid="{40170F66-3A75-459B-9751-4BAE0B7CE709}"/>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60477DC7-71E1-493D-B1C8-D17F16325C5A}"/>
    <cellStyle name="Normal 2 4 2 3 3 3 2 2 3" xfId="25011" xr:uid="{0A35DF8D-0C1B-4D9C-8D40-AD8019B4C768}"/>
    <cellStyle name="Normal 2 4 2 3 3 3 2 3" xfId="12347" xr:uid="{D95D5470-872E-4B80-A940-60C64DF60816}"/>
    <cellStyle name="Normal 2 4 2 3 3 3 2 4" xfId="20794" xr:uid="{E52702C0-05E9-41BA-BB32-AAF7A788557C}"/>
    <cellStyle name="Normal 2 4 2 3 3 3 3" xfId="5093" xr:uid="{00000000-0005-0000-0000-0000000F0000}"/>
    <cellStyle name="Normal 2 4 2 3 3 3 3 2" xfId="14419" xr:uid="{FEB2A3B9-B473-4799-8DA2-3B75E1984BD9}"/>
    <cellStyle name="Normal 2 4 2 3 3 3 3 3" xfId="22866" xr:uid="{DE30456E-A054-4ED5-8B8C-EE5486171326}"/>
    <cellStyle name="Normal 2 4 2 3 3 3 4" xfId="9316" xr:uid="{C8C83D09-5A3A-4C90-8A04-9D7CD8C85B11}"/>
    <cellStyle name="Normal 2 4 2 3 3 3 5" xfId="10202" xr:uid="{D06122A9-E5D3-48A3-B588-0DAD5085735D}"/>
    <cellStyle name="Normal 2 4 2 3 3 3 6" xfId="18649" xr:uid="{C9B29B42-2533-49F7-BB48-161FA039A70F}"/>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8821A01C-D779-4C19-8A98-174D51CF4B72}"/>
    <cellStyle name="Normal 2 4 2 3 3 4 2 2 3" xfId="25424" xr:uid="{1A769FB6-390C-4E00-B0C2-6196C56BAA58}"/>
    <cellStyle name="Normal 2 4 2 3 3 4 2 3" xfId="12760" xr:uid="{91E591F8-B934-4A55-B784-6B40E3B7BCCE}"/>
    <cellStyle name="Normal 2 4 2 3 3 4 2 4" xfId="21207" xr:uid="{1B1BEBE2-E70D-41CA-BC71-CF1E092D1251}"/>
    <cellStyle name="Normal 2 4 2 3 3 4 3" xfId="5506" xr:uid="{00000000-0005-0000-0000-0000040F0000}"/>
    <cellStyle name="Normal 2 4 2 3 3 4 3 2" xfId="14832" xr:uid="{234943CC-B3B4-4FFB-A6B2-512B36BE3EDB}"/>
    <cellStyle name="Normal 2 4 2 3 3 4 3 3" xfId="23279" xr:uid="{30081D62-B78B-4A5E-88E0-C2A54BD0EDB2}"/>
    <cellStyle name="Normal 2 4 2 3 3 4 4" xfId="10615" xr:uid="{3C4CB72B-4FC7-4027-897D-7CF9B9B878FA}"/>
    <cellStyle name="Normal 2 4 2 3 3 4 5" xfId="19062" xr:uid="{4BE6539B-7924-425F-9A07-9A04B0B69B84}"/>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FB35A3FC-51C1-4F5A-8380-BB410EE78A0A}"/>
    <cellStyle name="Normal 2 4 2 3 3 5 2 2 3" xfId="25837" xr:uid="{1A84C014-33D2-4FAB-BB69-940B02FD874D}"/>
    <cellStyle name="Normal 2 4 2 3 3 5 2 3" xfId="13173" xr:uid="{33145E18-C999-4986-A7D5-60ACE3B221CE}"/>
    <cellStyle name="Normal 2 4 2 3 3 5 2 4" xfId="21620" xr:uid="{F6888F90-338B-4421-85E2-0F1D06CD6D6F}"/>
    <cellStyle name="Normal 2 4 2 3 3 5 3" xfId="5919" xr:uid="{00000000-0005-0000-0000-0000080F0000}"/>
    <cellStyle name="Normal 2 4 2 3 3 5 3 2" xfId="15245" xr:uid="{A21CF980-7064-4D8B-BA0D-B8C9BE1390E9}"/>
    <cellStyle name="Normal 2 4 2 3 3 5 3 3" xfId="23692" xr:uid="{945595CF-0D53-485C-AA6A-30BF9A07FD58}"/>
    <cellStyle name="Normal 2 4 2 3 3 5 4" xfId="11028" xr:uid="{AC37247C-D42A-4E7E-95AD-E9B24DF59DBB}"/>
    <cellStyle name="Normal 2 4 2 3 3 5 5" xfId="19475" xr:uid="{D059391E-0B72-4056-921C-D9BD81A304EC}"/>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7DD13D25-478D-4609-A282-2C0B5ACB7B0F}"/>
    <cellStyle name="Normal 2 4 2 3 3 6 2 2 3" xfId="26250" xr:uid="{6BFABC50-4735-4700-A015-E603B588550E}"/>
    <cellStyle name="Normal 2 4 2 3 3 6 2 3" xfId="13586" xr:uid="{0466C4FC-DC3E-4640-9283-C7D6DEE73D4E}"/>
    <cellStyle name="Normal 2 4 2 3 3 6 2 4" xfId="22033" xr:uid="{B4F7AC27-6020-4669-B880-B863EEF84168}"/>
    <cellStyle name="Normal 2 4 2 3 3 6 3" xfId="6332" xr:uid="{00000000-0005-0000-0000-00000C0F0000}"/>
    <cellStyle name="Normal 2 4 2 3 3 6 3 2" xfId="15658" xr:uid="{98DC9498-AC86-4603-9E07-995A292B9533}"/>
    <cellStyle name="Normal 2 4 2 3 3 6 3 3" xfId="24105" xr:uid="{BFFFFFC2-73FA-4865-BA12-2F97C0718BE4}"/>
    <cellStyle name="Normal 2 4 2 3 3 6 4" xfId="11441" xr:uid="{25DE2EEF-A71C-4363-8463-C769EEEDA816}"/>
    <cellStyle name="Normal 2 4 2 3 3 6 5" xfId="19888" xr:uid="{9EA6E634-DE0F-4C82-8586-942790A09861}"/>
    <cellStyle name="Normal 2 4 2 3 3 7" xfId="2462" xr:uid="{00000000-0005-0000-0000-00000D0F0000}"/>
    <cellStyle name="Normal 2 4 2 3 3 7 2" xfId="6745" xr:uid="{00000000-0005-0000-0000-00000E0F0000}"/>
    <cellStyle name="Normal 2 4 2 3 3 7 2 2" xfId="16071" xr:uid="{E52EAA42-985F-40E7-9E5F-98E4C9F591A3}"/>
    <cellStyle name="Normal 2 4 2 3 3 7 2 3" xfId="24518" xr:uid="{99CCA443-719A-499B-9ADF-43D6337A03ED}"/>
    <cellStyle name="Normal 2 4 2 3 3 7 3" xfId="11854" xr:uid="{359E1AD7-6861-43C1-9E91-91B9F339DE6A}"/>
    <cellStyle name="Normal 2 4 2 3 3 7 4" xfId="20301" xr:uid="{FD7C16EA-D1FF-4B65-8E13-0CDD3AFD9581}"/>
    <cellStyle name="Normal 2 4 2 3 3 8" xfId="4679" xr:uid="{00000000-0005-0000-0000-00000F0F0000}"/>
    <cellStyle name="Normal 2 4 2 3 3 8 2" xfId="14005" xr:uid="{EB27B98D-8606-472B-8702-46E4A40ABDF1}"/>
    <cellStyle name="Normal 2 4 2 3 3 8 3" xfId="22452" xr:uid="{4834E7BB-AF9E-447A-A9D7-EAAEE784F46E}"/>
    <cellStyle name="Normal 2 4 2 3 3 9" xfId="8891" xr:uid="{D2DF60A1-A34B-4A3F-B29E-E581EFBA8360}"/>
    <cellStyle name="Normal 2 4 2 3 4" xfId="288" xr:uid="{00000000-0005-0000-0000-0000100F0000}"/>
    <cellStyle name="Normal 2 4 2 3 4 10" xfId="18237" xr:uid="{E28BFBEE-D637-4DAD-A55C-5FFC5A82F3A2}"/>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A2A09D99-A35A-46E3-8030-DA5CBBDD6B05}"/>
    <cellStyle name="Normal 2 4 2 3 4 2 2 2 3" xfId="25013" xr:uid="{766E851A-EAD4-4E73-B62F-D65431156AAC}"/>
    <cellStyle name="Normal 2 4 2 3 4 2 2 3" xfId="12349" xr:uid="{6E537F84-CE00-4EDE-987C-DF46D3A89E26}"/>
    <cellStyle name="Normal 2 4 2 3 4 2 2 4" xfId="20796" xr:uid="{49FD5391-E445-4517-B9B1-7F2261968B5F}"/>
    <cellStyle name="Normal 2 4 2 3 4 2 3" xfId="5095" xr:uid="{00000000-0005-0000-0000-0000140F0000}"/>
    <cellStyle name="Normal 2 4 2 3 4 2 3 2" xfId="14421" xr:uid="{22F0A20A-0EC0-4FBF-B924-2517C1AF8642}"/>
    <cellStyle name="Normal 2 4 2 3 4 2 3 3" xfId="22868" xr:uid="{9EC81700-10F5-43D7-99E9-95F980000B4B}"/>
    <cellStyle name="Normal 2 4 2 3 4 2 4" xfId="9420" xr:uid="{49E252B3-99BC-416A-A0CB-FE2641ECFDE3}"/>
    <cellStyle name="Normal 2 4 2 3 4 2 5" xfId="10204" xr:uid="{E9AFD5F7-3036-406A-9CD8-11B200A33A7C}"/>
    <cellStyle name="Normal 2 4 2 3 4 2 6" xfId="18651" xr:uid="{2C92AB27-F979-49AD-AE34-30ADBC93E286}"/>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72083E4D-3D95-44CE-8BFE-FED4A5F55331}"/>
    <cellStyle name="Normal 2 4 2 3 4 3 2 2 3" xfId="25426" xr:uid="{F2B8B0CA-353A-442F-90C2-E7A0FF951A1E}"/>
    <cellStyle name="Normal 2 4 2 3 4 3 2 3" xfId="12762" xr:uid="{9E16D7FC-BEBA-4750-947F-61013B7E2F47}"/>
    <cellStyle name="Normal 2 4 2 3 4 3 2 4" xfId="21209" xr:uid="{F87997FD-89F1-4F76-9760-3A7410910389}"/>
    <cellStyle name="Normal 2 4 2 3 4 3 3" xfId="5508" xr:uid="{00000000-0005-0000-0000-0000180F0000}"/>
    <cellStyle name="Normal 2 4 2 3 4 3 3 2" xfId="14834" xr:uid="{313DA27F-4C7E-47CF-B88F-1DFC24594B39}"/>
    <cellStyle name="Normal 2 4 2 3 4 3 3 3" xfId="23281" xr:uid="{F577D9E7-593F-4036-9384-7CD58D8FFF13}"/>
    <cellStyle name="Normal 2 4 2 3 4 3 4" xfId="10617" xr:uid="{D2B6EB65-F765-429D-BDC8-C41452571598}"/>
    <cellStyle name="Normal 2 4 2 3 4 3 5" xfId="19064" xr:uid="{A225DD42-C9A4-42E5-A30C-ED952B0B640E}"/>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EB5B0BAD-67A4-4EBA-B029-D1009180EC37}"/>
    <cellStyle name="Normal 2 4 2 3 4 4 2 2 3" xfId="25839" xr:uid="{E8C399FF-2023-4176-892B-09C956AA68EE}"/>
    <cellStyle name="Normal 2 4 2 3 4 4 2 3" xfId="13175" xr:uid="{513EAA6E-FDD7-4FC6-ADB8-FF8ABD85A889}"/>
    <cellStyle name="Normal 2 4 2 3 4 4 2 4" xfId="21622" xr:uid="{163AA68A-00D5-49B1-A994-8ED3F7BEE3DA}"/>
    <cellStyle name="Normal 2 4 2 3 4 4 3" xfId="5921" xr:uid="{00000000-0005-0000-0000-00001C0F0000}"/>
    <cellStyle name="Normal 2 4 2 3 4 4 3 2" xfId="15247" xr:uid="{9BA5A283-9A5E-4A8C-90FA-E8554A49B01F}"/>
    <cellStyle name="Normal 2 4 2 3 4 4 3 3" xfId="23694" xr:uid="{712AAD1F-C42F-4849-8F51-628254F09705}"/>
    <cellStyle name="Normal 2 4 2 3 4 4 4" xfId="11030" xr:uid="{1284251E-3EF7-4EDC-B328-90B09F8BB7E8}"/>
    <cellStyle name="Normal 2 4 2 3 4 4 5" xfId="19477" xr:uid="{506DBEF5-D5DB-4692-B4A9-4BBCB40173EA}"/>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5C17D5A4-FCCC-4087-98EA-D05FB9B96980}"/>
    <cellStyle name="Normal 2 4 2 3 4 5 2 2 3" xfId="26252" xr:uid="{71C0182C-3703-4274-8969-D76EDD94503E}"/>
    <cellStyle name="Normal 2 4 2 3 4 5 2 3" xfId="13588" xr:uid="{84A66415-280F-4013-B929-C044AF5634CC}"/>
    <cellStyle name="Normal 2 4 2 3 4 5 2 4" xfId="22035" xr:uid="{CEC58EA3-91DF-427C-B8B4-A83E2B559399}"/>
    <cellStyle name="Normal 2 4 2 3 4 5 3" xfId="6334" xr:uid="{00000000-0005-0000-0000-0000200F0000}"/>
    <cellStyle name="Normal 2 4 2 3 4 5 3 2" xfId="15660" xr:uid="{FEBFED83-C822-402B-968D-DC15C46AEC87}"/>
    <cellStyle name="Normal 2 4 2 3 4 5 3 3" xfId="24107" xr:uid="{791A4ABE-C588-4FA9-A56A-5985AF770909}"/>
    <cellStyle name="Normal 2 4 2 3 4 5 4" xfId="11443" xr:uid="{7D3459AA-9130-4D6D-97C2-4344A5216614}"/>
    <cellStyle name="Normal 2 4 2 3 4 5 5" xfId="19890" xr:uid="{82F38548-8E14-4263-9E2B-12521C360279}"/>
    <cellStyle name="Normal 2 4 2 3 4 6" xfId="2464" xr:uid="{00000000-0005-0000-0000-0000210F0000}"/>
    <cellStyle name="Normal 2 4 2 3 4 6 2" xfId="6747" xr:uid="{00000000-0005-0000-0000-0000220F0000}"/>
    <cellStyle name="Normal 2 4 2 3 4 6 2 2" xfId="16073" xr:uid="{0AC1AE64-86D2-4161-BCCD-7400347A0175}"/>
    <cellStyle name="Normal 2 4 2 3 4 6 2 3" xfId="24520" xr:uid="{564FE85A-109B-4DEA-AF3A-5CCCBD6702F5}"/>
    <cellStyle name="Normal 2 4 2 3 4 6 3" xfId="11856" xr:uid="{8D260B88-8945-46E6-8761-2F1DFAC58368}"/>
    <cellStyle name="Normal 2 4 2 3 4 6 4" xfId="20303" xr:uid="{8E5934C5-C422-4C71-B166-EDD12322E181}"/>
    <cellStyle name="Normal 2 4 2 3 4 7" xfId="4681" xr:uid="{00000000-0005-0000-0000-0000230F0000}"/>
    <cellStyle name="Normal 2 4 2 3 4 7 2" xfId="14007" xr:uid="{D4CCF59A-7224-4560-8F96-C19477E07276}"/>
    <cellStyle name="Normal 2 4 2 3 4 7 3" xfId="22454" xr:uid="{382C7F4D-8A45-49B4-9512-17ACCCDF7054}"/>
    <cellStyle name="Normal 2 4 2 3 4 8" xfId="8995" xr:uid="{EEE25A27-4C18-4948-8341-FF27707A7A86}"/>
    <cellStyle name="Normal 2 4 2 3 4 9" xfId="9790" xr:uid="{CAFA575B-1189-4725-8A47-4B1DF1F5735A}"/>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25DDAE1E-6185-4650-B90F-D0157509288B}"/>
    <cellStyle name="Normal 2 4 2 3 5 2 2 3" xfId="25006" xr:uid="{D02E3801-59CD-4855-BF86-5E430CE5B25D}"/>
    <cellStyle name="Normal 2 4 2 3 5 2 3" xfId="12342" xr:uid="{964DDF2E-8536-45E5-9CE3-4CAF050C7524}"/>
    <cellStyle name="Normal 2 4 2 3 5 2 4" xfId="20789" xr:uid="{9F0A046E-B88F-4577-9EA3-F6A4BF472849}"/>
    <cellStyle name="Normal 2 4 2 3 5 3" xfId="5088" xr:uid="{00000000-0005-0000-0000-0000270F0000}"/>
    <cellStyle name="Normal 2 4 2 3 5 3 2" xfId="14414" xr:uid="{08FA25E6-A586-4744-B502-76A4B2047625}"/>
    <cellStyle name="Normal 2 4 2 3 5 3 3" xfId="22861" xr:uid="{76B3BA50-7B91-4E80-97EE-C23DA0DD27CA}"/>
    <cellStyle name="Normal 2 4 2 3 5 4" xfId="9212" xr:uid="{39F1BF9F-C79C-4226-B2D8-665EAA6F3686}"/>
    <cellStyle name="Normal 2 4 2 3 5 5" xfId="10197" xr:uid="{A8B25C6A-1D35-4376-A030-DF8F7A063BE8}"/>
    <cellStyle name="Normal 2 4 2 3 5 6" xfId="18644" xr:uid="{1C67CC0A-1B52-49BB-B5CB-33936EE58ACD}"/>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45A82E06-B268-4AC0-BE4E-1564A852B921}"/>
    <cellStyle name="Normal 2 4 2 3 6 2 2 3" xfId="25419" xr:uid="{40226BAC-C0FB-4050-B0A4-DD5BBD8AE1A1}"/>
    <cellStyle name="Normal 2 4 2 3 6 2 3" xfId="12755" xr:uid="{3C22FC90-026C-4E73-8C36-DF880CC09775}"/>
    <cellStyle name="Normal 2 4 2 3 6 2 4" xfId="21202" xr:uid="{A07DB74D-3708-4704-B872-1825270131D3}"/>
    <cellStyle name="Normal 2 4 2 3 6 3" xfId="5501" xr:uid="{00000000-0005-0000-0000-00002B0F0000}"/>
    <cellStyle name="Normal 2 4 2 3 6 3 2" xfId="14827" xr:uid="{883C8303-02AF-4D38-A133-722BC0C15D05}"/>
    <cellStyle name="Normal 2 4 2 3 6 3 3" xfId="23274" xr:uid="{5F7C48BF-D5C0-42D5-8D6B-30DB28E2125D}"/>
    <cellStyle name="Normal 2 4 2 3 6 4" xfId="10610" xr:uid="{7A03C0B1-249F-44EE-BAB2-62F30656DC3B}"/>
    <cellStyle name="Normal 2 4 2 3 6 5" xfId="19057" xr:uid="{2BF43232-1D48-429D-A45E-7BCC9C9F6EC1}"/>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9C24837A-67B7-4538-80C8-A74F7BCA9F86}"/>
    <cellStyle name="Normal 2 4 2 3 7 2 2 3" xfId="25832" xr:uid="{4A8BFCE0-B9FE-4AA7-969D-E6F28B767AD7}"/>
    <cellStyle name="Normal 2 4 2 3 7 2 3" xfId="13168" xr:uid="{E53C4C01-5B06-4B8A-A3BA-53CDD06AAFFB}"/>
    <cellStyle name="Normal 2 4 2 3 7 2 4" xfId="21615" xr:uid="{C0E5D0DE-858D-482C-A5F1-FDEF1FFAC978}"/>
    <cellStyle name="Normal 2 4 2 3 7 3" xfId="5914" xr:uid="{00000000-0005-0000-0000-00002F0F0000}"/>
    <cellStyle name="Normal 2 4 2 3 7 3 2" xfId="15240" xr:uid="{9DC7F6A1-4BB8-4553-AB3E-1308EF6EB56A}"/>
    <cellStyle name="Normal 2 4 2 3 7 3 3" xfId="23687" xr:uid="{320D87CB-3639-4319-8B75-0EFC268ACBCC}"/>
    <cellStyle name="Normal 2 4 2 3 7 4" xfId="11023" xr:uid="{E165C041-3E3B-4AAA-A9C2-941E46CEA07E}"/>
    <cellStyle name="Normal 2 4 2 3 7 5" xfId="19470" xr:uid="{41D1FC9D-8240-45BA-95DC-60C47EF5C22B}"/>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B6E6D28A-C4B8-4865-BC02-0504ACB46ACD}"/>
    <cellStyle name="Normal 2 4 2 3 8 2 2 3" xfId="26245" xr:uid="{0D835065-E728-4265-843F-2A816A56C6A1}"/>
    <cellStyle name="Normal 2 4 2 3 8 2 3" xfId="13581" xr:uid="{46FDC590-8651-45F2-8624-C430E008A3C4}"/>
    <cellStyle name="Normal 2 4 2 3 8 2 4" xfId="22028" xr:uid="{F325F713-B542-4728-B953-CF6CA0EFCC39}"/>
    <cellStyle name="Normal 2 4 2 3 8 3" xfId="6327" xr:uid="{00000000-0005-0000-0000-0000330F0000}"/>
    <cellStyle name="Normal 2 4 2 3 8 3 2" xfId="15653" xr:uid="{55360A3A-2691-4D10-B65B-4E7A78AE5C5D}"/>
    <cellStyle name="Normal 2 4 2 3 8 3 3" xfId="24100" xr:uid="{BD10A0E4-FF9C-4048-B6D4-66EDB92E48D7}"/>
    <cellStyle name="Normal 2 4 2 3 8 4" xfId="11436" xr:uid="{70A1487B-4B55-4DA5-84D9-D14F68B19BDC}"/>
    <cellStyle name="Normal 2 4 2 3 8 5" xfId="19883" xr:uid="{2FFC5710-9FD5-42F4-B898-BE9420AE71D6}"/>
    <cellStyle name="Normal 2 4 2 3 9" xfId="2457" xr:uid="{00000000-0005-0000-0000-0000340F0000}"/>
    <cellStyle name="Normal 2 4 2 3 9 2" xfId="6740" xr:uid="{00000000-0005-0000-0000-0000350F0000}"/>
    <cellStyle name="Normal 2 4 2 3 9 2 2" xfId="16066" xr:uid="{C5701F68-B861-4A49-837E-D38AD0504AC4}"/>
    <cellStyle name="Normal 2 4 2 3 9 2 3" xfId="24513" xr:uid="{9C08F4F7-2B12-4003-9587-8FD8120A50DA}"/>
    <cellStyle name="Normal 2 4 2 3 9 3" xfId="11849" xr:uid="{97DECD20-49E1-4204-AE81-F25AE982AFEC}"/>
    <cellStyle name="Normal 2 4 2 3 9 4" xfId="20296" xr:uid="{0C7D9662-AF84-4AC8-A719-7A01DEE18FF2}"/>
    <cellStyle name="Normal 2 4 2 4" xfId="289" xr:uid="{00000000-0005-0000-0000-0000360F0000}"/>
    <cellStyle name="Normal 2 4 2 4 10" xfId="8812" xr:uid="{C2E08BA7-2068-4F74-AFE2-E0AED0B82FE2}"/>
    <cellStyle name="Normal 2 4 2 4 11" xfId="9791" xr:uid="{44851730-28EC-4B23-9728-6ADC1125DB10}"/>
    <cellStyle name="Normal 2 4 2 4 12" xfId="18238" xr:uid="{7841F645-FF7A-490A-AB3A-7D46C7921BA3}"/>
    <cellStyle name="Normal 2 4 2 4 2" xfId="290" xr:uid="{00000000-0005-0000-0000-0000370F0000}"/>
    <cellStyle name="Normal 2 4 2 4 2 10" xfId="9792" xr:uid="{D65F9060-1860-406E-A299-9B3F914F6E05}"/>
    <cellStyle name="Normal 2 4 2 4 2 11" xfId="18239" xr:uid="{B91F1621-D3E1-4E7A-8FC8-BE9F7D8919CA}"/>
    <cellStyle name="Normal 2 4 2 4 2 2" xfId="291" xr:uid="{00000000-0005-0000-0000-0000380F0000}"/>
    <cellStyle name="Normal 2 4 2 4 2 2 10" xfId="18240" xr:uid="{AB1BE719-A882-4D8E-A455-85E5BEF248EE}"/>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0BD2D3B1-E8EA-4DA3-83EF-D3F4E8632BB6}"/>
    <cellStyle name="Normal 2 4 2 4 2 2 2 2 2 3" xfId="25016" xr:uid="{041D0B19-C5B4-487A-A12C-363AF56B5D3A}"/>
    <cellStyle name="Normal 2 4 2 4 2 2 2 2 3" xfId="12352" xr:uid="{35E1BA59-6F37-4FDD-8AD8-503BD6E4A738}"/>
    <cellStyle name="Normal 2 4 2 4 2 2 2 2 4" xfId="20799" xr:uid="{0E233D4D-2592-4B98-955E-C99604E46C55}"/>
    <cellStyle name="Normal 2 4 2 4 2 2 2 3" xfId="5098" xr:uid="{00000000-0005-0000-0000-00003C0F0000}"/>
    <cellStyle name="Normal 2 4 2 4 2 2 2 3 2" xfId="14424" xr:uid="{AB005914-D955-46AA-A382-1050A5660D5F}"/>
    <cellStyle name="Normal 2 4 2 4 2 2 2 3 3" xfId="22871" xr:uid="{832CD6F7-52C9-4FD4-8F39-2FE56ED5105C}"/>
    <cellStyle name="Normal 2 4 2 4 2 2 2 4" xfId="9547" xr:uid="{F8909421-8B16-4168-8B85-A5523C430C3C}"/>
    <cellStyle name="Normal 2 4 2 4 2 2 2 5" xfId="10207" xr:uid="{0666C8EA-EE2C-443E-BEEE-2FDEF857AA70}"/>
    <cellStyle name="Normal 2 4 2 4 2 2 2 6" xfId="18654" xr:uid="{4787F612-5BC2-40A9-ACF0-C7A3C8F953A6}"/>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41FC3FC4-B0E7-4478-8DF2-9106107BD7DF}"/>
    <cellStyle name="Normal 2 4 2 4 2 2 3 2 2 3" xfId="25429" xr:uid="{34309280-3A74-4396-8D3F-A7224E3E30E5}"/>
    <cellStyle name="Normal 2 4 2 4 2 2 3 2 3" xfId="12765" xr:uid="{D48B8CA5-52DF-4AED-A6AC-EC4BA98431E0}"/>
    <cellStyle name="Normal 2 4 2 4 2 2 3 2 4" xfId="21212" xr:uid="{AF305079-AB3A-4A80-903C-406BCC1407EB}"/>
    <cellStyle name="Normal 2 4 2 4 2 2 3 3" xfId="5511" xr:uid="{00000000-0005-0000-0000-0000400F0000}"/>
    <cellStyle name="Normal 2 4 2 4 2 2 3 3 2" xfId="14837" xr:uid="{74706DA9-1891-4051-97CB-0A968CE614C0}"/>
    <cellStyle name="Normal 2 4 2 4 2 2 3 3 3" xfId="23284" xr:uid="{67E83C6E-D94C-442D-A5A8-F47689CA5A04}"/>
    <cellStyle name="Normal 2 4 2 4 2 2 3 4" xfId="10620" xr:uid="{1251B5F8-77CF-4D56-89C8-6E6F8B48B9D1}"/>
    <cellStyle name="Normal 2 4 2 4 2 2 3 5" xfId="19067" xr:uid="{3CB3888B-AC04-4E0D-8B36-59F851B5DC74}"/>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89361B76-46C7-4377-9B81-F887297D625D}"/>
    <cellStyle name="Normal 2 4 2 4 2 2 4 2 2 3" xfId="25842" xr:uid="{AC8E8D94-F06C-4F1F-85BF-DE97078833BA}"/>
    <cellStyle name="Normal 2 4 2 4 2 2 4 2 3" xfId="13178" xr:uid="{02102CB0-EE17-40A4-BF55-12B1815B48C7}"/>
    <cellStyle name="Normal 2 4 2 4 2 2 4 2 4" xfId="21625" xr:uid="{55A99995-34D3-45E6-B18A-3D0990280B90}"/>
    <cellStyle name="Normal 2 4 2 4 2 2 4 3" xfId="5924" xr:uid="{00000000-0005-0000-0000-0000440F0000}"/>
    <cellStyle name="Normal 2 4 2 4 2 2 4 3 2" xfId="15250" xr:uid="{9EDCCB90-3D49-40C1-A705-B021333A26A7}"/>
    <cellStyle name="Normal 2 4 2 4 2 2 4 3 3" xfId="23697" xr:uid="{3923AD38-1448-495B-BC41-7FA598CD29C7}"/>
    <cellStyle name="Normal 2 4 2 4 2 2 4 4" xfId="11033" xr:uid="{0110FDF9-8844-4BE0-9A13-4324084A0943}"/>
    <cellStyle name="Normal 2 4 2 4 2 2 4 5" xfId="19480" xr:uid="{8363CFDC-01E8-4514-8050-170C92884DE7}"/>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1E56024A-05B2-43B9-AC14-C1BC2F60D01A}"/>
    <cellStyle name="Normal 2 4 2 4 2 2 5 2 2 3" xfId="26255" xr:uid="{B2310F27-B70E-46FF-810A-0773484C6E94}"/>
    <cellStyle name="Normal 2 4 2 4 2 2 5 2 3" xfId="13591" xr:uid="{2317CFB8-ACE7-4A85-9A4A-48CEB9F4021A}"/>
    <cellStyle name="Normal 2 4 2 4 2 2 5 2 4" xfId="22038" xr:uid="{FA7B5B53-087B-48A2-933A-F5246DA3586C}"/>
    <cellStyle name="Normal 2 4 2 4 2 2 5 3" xfId="6337" xr:uid="{00000000-0005-0000-0000-0000480F0000}"/>
    <cellStyle name="Normal 2 4 2 4 2 2 5 3 2" xfId="15663" xr:uid="{69FFB314-1145-4DA0-B2DD-A916B3481EC4}"/>
    <cellStyle name="Normal 2 4 2 4 2 2 5 3 3" xfId="24110" xr:uid="{951F1A8A-5FCB-4129-A4C4-4D69DB0D8AFF}"/>
    <cellStyle name="Normal 2 4 2 4 2 2 5 4" xfId="11446" xr:uid="{79C43172-75D6-4ADC-8F22-8340EA749917}"/>
    <cellStyle name="Normal 2 4 2 4 2 2 5 5" xfId="19893" xr:uid="{AD26B82B-3A0F-4DDA-BAD1-AFDB135271E9}"/>
    <cellStyle name="Normal 2 4 2 4 2 2 6" xfId="2467" xr:uid="{00000000-0005-0000-0000-0000490F0000}"/>
    <cellStyle name="Normal 2 4 2 4 2 2 6 2" xfId="6750" xr:uid="{00000000-0005-0000-0000-00004A0F0000}"/>
    <cellStyle name="Normal 2 4 2 4 2 2 6 2 2" xfId="16076" xr:uid="{C2D9DFE5-05D9-49B9-A216-E3C6EAD7FCCD}"/>
    <cellStyle name="Normal 2 4 2 4 2 2 6 2 3" xfId="24523" xr:uid="{3951F674-FFE9-45B5-BF27-32B0F23B2841}"/>
    <cellStyle name="Normal 2 4 2 4 2 2 6 3" xfId="11859" xr:uid="{A77D051D-DF05-4398-8D2D-AF7904C65A67}"/>
    <cellStyle name="Normal 2 4 2 4 2 2 6 4" xfId="20306" xr:uid="{3386B0E7-D721-439C-9745-00B2B125201F}"/>
    <cellStyle name="Normal 2 4 2 4 2 2 7" xfId="4684" xr:uid="{00000000-0005-0000-0000-00004B0F0000}"/>
    <cellStyle name="Normal 2 4 2 4 2 2 7 2" xfId="14010" xr:uid="{83099EBD-28E6-48D6-A2FF-FDAB20D70D52}"/>
    <cellStyle name="Normal 2 4 2 4 2 2 7 3" xfId="22457" xr:uid="{15E97CFB-B150-4346-8C23-2ADC369DA5C0}"/>
    <cellStyle name="Normal 2 4 2 4 2 2 8" xfId="9122" xr:uid="{861CB008-611F-4F3F-9D09-5BCA5A4CB255}"/>
    <cellStyle name="Normal 2 4 2 4 2 2 9" xfId="9793" xr:uid="{8E64ECB8-F39B-4184-82B8-1F064E1FB7BC}"/>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61F02044-5F34-4B7C-B2EE-45966F8BAB47}"/>
    <cellStyle name="Normal 2 4 2 4 2 3 2 2 3" xfId="25015" xr:uid="{7A8253FE-3064-4DF1-9119-7D455E3A689E}"/>
    <cellStyle name="Normal 2 4 2 4 2 3 2 3" xfId="12351" xr:uid="{48C3B877-2768-46BD-AB79-CD36481F568E}"/>
    <cellStyle name="Normal 2 4 2 4 2 3 2 4" xfId="20798" xr:uid="{6B059827-144B-463C-89EC-1B78A42876E1}"/>
    <cellStyle name="Normal 2 4 2 4 2 3 3" xfId="5097" xr:uid="{00000000-0005-0000-0000-00004F0F0000}"/>
    <cellStyle name="Normal 2 4 2 4 2 3 3 2" xfId="14423" xr:uid="{53ACEDB3-F5C6-4182-B483-3CFFFB8C2639}"/>
    <cellStyle name="Normal 2 4 2 4 2 3 3 3" xfId="22870" xr:uid="{7FDCBB1D-2A44-4262-9205-5F7ACC84BC83}"/>
    <cellStyle name="Normal 2 4 2 4 2 3 4" xfId="9340" xr:uid="{2D1F2F91-F6E8-42AC-98D0-B8667E0ECE37}"/>
    <cellStyle name="Normal 2 4 2 4 2 3 5" xfId="10206" xr:uid="{133C2820-8CE1-4DA0-B4A1-156B1977DC4E}"/>
    <cellStyle name="Normal 2 4 2 4 2 3 6" xfId="18653" xr:uid="{62D0480E-3D94-4630-87FF-FF7B660B3BAC}"/>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5BB1B6B3-A3CE-445B-8415-16999A7EE4C9}"/>
    <cellStyle name="Normal 2 4 2 4 2 4 2 2 3" xfId="25428" xr:uid="{B83F76B3-5895-4A1A-AE23-942AAD0F6D29}"/>
    <cellStyle name="Normal 2 4 2 4 2 4 2 3" xfId="12764" xr:uid="{AB538049-97B1-49BB-B6AE-C04EFBBA1C5A}"/>
    <cellStyle name="Normal 2 4 2 4 2 4 2 4" xfId="21211" xr:uid="{CB614C80-DDD3-42A6-B91C-AC0A2B41A387}"/>
    <cellStyle name="Normal 2 4 2 4 2 4 3" xfId="5510" xr:uid="{00000000-0005-0000-0000-0000530F0000}"/>
    <cellStyle name="Normal 2 4 2 4 2 4 3 2" xfId="14836" xr:uid="{7CCBFA96-3428-4FD1-AA81-315F477640CC}"/>
    <cellStyle name="Normal 2 4 2 4 2 4 3 3" xfId="23283" xr:uid="{B82D9940-E379-4E8C-B7FB-2CFBD2E10178}"/>
    <cellStyle name="Normal 2 4 2 4 2 4 4" xfId="10619" xr:uid="{0ED2EAF5-F018-4AB8-81D9-A0716D9AC065}"/>
    <cellStyle name="Normal 2 4 2 4 2 4 5" xfId="19066" xr:uid="{AA379A48-3D82-4C12-86CB-E0E3F273B47A}"/>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9CB6EAEC-5B66-4DC3-98F8-E9D63C9F5B4F}"/>
    <cellStyle name="Normal 2 4 2 4 2 5 2 2 3" xfId="25841" xr:uid="{321D4CCE-A783-4425-A7DF-4456D0B11DFA}"/>
    <cellStyle name="Normal 2 4 2 4 2 5 2 3" xfId="13177" xr:uid="{0CEC3E11-DD3A-4CCF-ABF8-C2452E6FEF89}"/>
    <cellStyle name="Normal 2 4 2 4 2 5 2 4" xfId="21624" xr:uid="{80BFB0CB-2EFB-41BB-9C14-C822AE6B9E96}"/>
    <cellStyle name="Normal 2 4 2 4 2 5 3" xfId="5923" xr:uid="{00000000-0005-0000-0000-0000570F0000}"/>
    <cellStyle name="Normal 2 4 2 4 2 5 3 2" xfId="15249" xr:uid="{2D72C1CE-DC13-49C9-BC29-41D9B410E9A9}"/>
    <cellStyle name="Normal 2 4 2 4 2 5 3 3" xfId="23696" xr:uid="{14E28A50-7194-45B0-9777-7F5E71BFC2E7}"/>
    <cellStyle name="Normal 2 4 2 4 2 5 4" xfId="11032" xr:uid="{EB049559-7248-4325-912A-D133EE743E11}"/>
    <cellStyle name="Normal 2 4 2 4 2 5 5" xfId="19479" xr:uid="{48B7F018-4CA8-44EF-9244-950CFB63ACC8}"/>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B330DEB6-F327-4102-9472-D37710E5E143}"/>
    <cellStyle name="Normal 2 4 2 4 2 6 2 2 3" xfId="26254" xr:uid="{328F71B8-6E77-4011-872D-3456CD529001}"/>
    <cellStyle name="Normal 2 4 2 4 2 6 2 3" xfId="13590" xr:uid="{CF4639A0-C088-4EF8-994E-EBD08B7B46B3}"/>
    <cellStyle name="Normal 2 4 2 4 2 6 2 4" xfId="22037" xr:uid="{59A3203F-4168-4261-B51C-DD3EA82F6CDE}"/>
    <cellStyle name="Normal 2 4 2 4 2 6 3" xfId="6336" xr:uid="{00000000-0005-0000-0000-00005B0F0000}"/>
    <cellStyle name="Normal 2 4 2 4 2 6 3 2" xfId="15662" xr:uid="{D529C731-0673-449E-9E61-80ED0B9A23C0}"/>
    <cellStyle name="Normal 2 4 2 4 2 6 3 3" xfId="24109" xr:uid="{92A2EA47-B7A5-4088-9878-3DB7595BBC8E}"/>
    <cellStyle name="Normal 2 4 2 4 2 6 4" xfId="11445" xr:uid="{A8D9CC0B-2664-4B4F-AA12-FEDBD7BEB1DD}"/>
    <cellStyle name="Normal 2 4 2 4 2 6 5" xfId="19892" xr:uid="{26619BE8-F6E1-41DE-A06E-167B801BBB7B}"/>
    <cellStyle name="Normal 2 4 2 4 2 7" xfId="2466" xr:uid="{00000000-0005-0000-0000-00005C0F0000}"/>
    <cellStyle name="Normal 2 4 2 4 2 7 2" xfId="6749" xr:uid="{00000000-0005-0000-0000-00005D0F0000}"/>
    <cellStyle name="Normal 2 4 2 4 2 7 2 2" xfId="16075" xr:uid="{103200F2-2F1E-4C09-B546-834BA862F940}"/>
    <cellStyle name="Normal 2 4 2 4 2 7 2 3" xfId="24522" xr:uid="{E5B923BF-37E5-4FE9-934E-DCB02B998326}"/>
    <cellStyle name="Normal 2 4 2 4 2 7 3" xfId="11858" xr:uid="{077A5877-CBCA-4B24-B11D-12E99196C11D}"/>
    <cellStyle name="Normal 2 4 2 4 2 7 4" xfId="20305" xr:uid="{839EA390-2303-48B4-94D8-8D08FBD3FA09}"/>
    <cellStyle name="Normal 2 4 2 4 2 8" xfId="4683" xr:uid="{00000000-0005-0000-0000-00005E0F0000}"/>
    <cellStyle name="Normal 2 4 2 4 2 8 2" xfId="14009" xr:uid="{EEE2B417-2E6A-4CEF-8627-C5219FE4C5C8}"/>
    <cellStyle name="Normal 2 4 2 4 2 8 3" xfId="22456" xr:uid="{5F72D0F8-64BA-431B-99BC-B117FF7A931B}"/>
    <cellStyle name="Normal 2 4 2 4 2 9" xfId="8915" xr:uid="{2BEB15AA-2AFA-47D4-AC0E-63DAF2CFE119}"/>
    <cellStyle name="Normal 2 4 2 4 3" xfId="292" xr:uid="{00000000-0005-0000-0000-00005F0F0000}"/>
    <cellStyle name="Normal 2 4 2 4 3 10" xfId="18241" xr:uid="{5756A32C-DDB8-4392-993B-24BBD198D0CE}"/>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B39CAA31-8903-438B-8CFC-6E12C3EA7EB3}"/>
    <cellStyle name="Normal 2 4 2 4 3 2 2 2 3" xfId="25017" xr:uid="{C6736A09-91D0-459F-B02B-6B6F74663D48}"/>
    <cellStyle name="Normal 2 4 2 4 3 2 2 3" xfId="12353" xr:uid="{54ED70F3-9D22-487C-93CD-9765273A83AE}"/>
    <cellStyle name="Normal 2 4 2 4 3 2 2 4" xfId="20800" xr:uid="{392B5582-76DF-4475-BF39-842DAA3876D3}"/>
    <cellStyle name="Normal 2 4 2 4 3 2 3" xfId="5099" xr:uid="{00000000-0005-0000-0000-0000630F0000}"/>
    <cellStyle name="Normal 2 4 2 4 3 2 3 2" xfId="14425" xr:uid="{80D21973-EFFC-4308-B79A-A97F41392ABB}"/>
    <cellStyle name="Normal 2 4 2 4 3 2 3 3" xfId="22872" xr:uid="{57F455B7-A977-4EEE-A477-951CDA809848}"/>
    <cellStyle name="Normal 2 4 2 4 3 2 4" xfId="9444" xr:uid="{807939DF-E7C0-4015-A3D8-AE9E56020172}"/>
    <cellStyle name="Normal 2 4 2 4 3 2 5" xfId="10208" xr:uid="{BAB1C770-5B14-4DD2-839C-1D7774E0E005}"/>
    <cellStyle name="Normal 2 4 2 4 3 2 6" xfId="18655" xr:uid="{E7039CBE-2C8A-4875-86B0-9FAD1DC32D91}"/>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1A42449D-7C20-4E29-81F9-DAC170DB6406}"/>
    <cellStyle name="Normal 2 4 2 4 3 3 2 2 3" xfId="25430" xr:uid="{CB0244FC-3A24-4E59-9577-79C81DC7CD42}"/>
    <cellStyle name="Normal 2 4 2 4 3 3 2 3" xfId="12766" xr:uid="{5C5B4A0F-8839-4172-AED0-A60E595D95E3}"/>
    <cellStyle name="Normal 2 4 2 4 3 3 2 4" xfId="21213" xr:uid="{F9205842-FC8E-4E2F-87E1-88BC8AA73D5C}"/>
    <cellStyle name="Normal 2 4 2 4 3 3 3" xfId="5512" xr:uid="{00000000-0005-0000-0000-0000670F0000}"/>
    <cellStyle name="Normal 2 4 2 4 3 3 3 2" xfId="14838" xr:uid="{E323A3DC-681F-463C-9396-D802F685BF49}"/>
    <cellStyle name="Normal 2 4 2 4 3 3 3 3" xfId="23285" xr:uid="{BED14CE9-00FE-41FD-983A-E8E7C57C09C8}"/>
    <cellStyle name="Normal 2 4 2 4 3 3 4" xfId="10621" xr:uid="{0C2030EB-A6E0-4C8B-BC62-FC1AAF3FF0C3}"/>
    <cellStyle name="Normal 2 4 2 4 3 3 5" xfId="19068" xr:uid="{5DE1544D-0B4F-468B-86FA-3394EB13F4BA}"/>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791E6B55-2578-4DFC-B5F3-293555D7FED3}"/>
    <cellStyle name="Normal 2 4 2 4 3 4 2 2 3" xfId="25843" xr:uid="{F9918C68-F2DA-4CF9-A60A-F3AF9D04E843}"/>
    <cellStyle name="Normal 2 4 2 4 3 4 2 3" xfId="13179" xr:uid="{987250C8-B530-437E-92E5-24B7E4C3394D}"/>
    <cellStyle name="Normal 2 4 2 4 3 4 2 4" xfId="21626" xr:uid="{802D6BFF-7661-4523-A9A1-EE483BAF6DE3}"/>
    <cellStyle name="Normal 2 4 2 4 3 4 3" xfId="5925" xr:uid="{00000000-0005-0000-0000-00006B0F0000}"/>
    <cellStyle name="Normal 2 4 2 4 3 4 3 2" xfId="15251" xr:uid="{8AE77E20-FAF2-45B2-9B50-ADEF5AC5EE4B}"/>
    <cellStyle name="Normal 2 4 2 4 3 4 3 3" xfId="23698" xr:uid="{3426E8D2-A753-493B-8916-F223482164D7}"/>
    <cellStyle name="Normal 2 4 2 4 3 4 4" xfId="11034" xr:uid="{B6EBDE7B-D60E-4B7B-83BE-024417B98CCA}"/>
    <cellStyle name="Normal 2 4 2 4 3 4 5" xfId="19481" xr:uid="{02D23039-4D58-49CF-8D95-09D90F67DD35}"/>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50AB29EE-D358-4D92-9420-0FC5E29908A3}"/>
    <cellStyle name="Normal 2 4 2 4 3 5 2 2 3" xfId="26256" xr:uid="{FF7FB024-ADA5-46FB-970B-A7A88F90A84A}"/>
    <cellStyle name="Normal 2 4 2 4 3 5 2 3" xfId="13592" xr:uid="{2994BE49-C5D9-468E-8629-6444EE4682C8}"/>
    <cellStyle name="Normal 2 4 2 4 3 5 2 4" xfId="22039" xr:uid="{4A5EF81A-6A04-4BDC-999A-0DB8E32A4E7E}"/>
    <cellStyle name="Normal 2 4 2 4 3 5 3" xfId="6338" xr:uid="{00000000-0005-0000-0000-00006F0F0000}"/>
    <cellStyle name="Normal 2 4 2 4 3 5 3 2" xfId="15664" xr:uid="{FA37D267-B8E6-44D5-B2C6-6BBD4B786ED6}"/>
    <cellStyle name="Normal 2 4 2 4 3 5 3 3" xfId="24111" xr:uid="{F65F32D3-5092-4983-AC17-1E85AC8FE0A9}"/>
    <cellStyle name="Normal 2 4 2 4 3 5 4" xfId="11447" xr:uid="{9D834464-44E4-40C1-A3CF-CCF29673DA68}"/>
    <cellStyle name="Normal 2 4 2 4 3 5 5" xfId="19894" xr:uid="{937A8F37-1D62-45DB-AA06-13DE592E0D19}"/>
    <cellStyle name="Normal 2 4 2 4 3 6" xfId="2468" xr:uid="{00000000-0005-0000-0000-0000700F0000}"/>
    <cellStyle name="Normal 2 4 2 4 3 6 2" xfId="6751" xr:uid="{00000000-0005-0000-0000-0000710F0000}"/>
    <cellStyle name="Normal 2 4 2 4 3 6 2 2" xfId="16077" xr:uid="{B89FEB64-1078-4D54-8209-B79FB92F9067}"/>
    <cellStyle name="Normal 2 4 2 4 3 6 2 3" xfId="24524" xr:uid="{7024BE18-9886-4DC7-B160-5A3B17A0421B}"/>
    <cellStyle name="Normal 2 4 2 4 3 6 3" xfId="11860" xr:uid="{37F22865-75AC-40F9-B949-6FEEBCDB24C3}"/>
    <cellStyle name="Normal 2 4 2 4 3 6 4" xfId="20307" xr:uid="{9DF37756-0BEB-4DB2-BE0D-04C4E0985B74}"/>
    <cellStyle name="Normal 2 4 2 4 3 7" xfId="4685" xr:uid="{00000000-0005-0000-0000-0000720F0000}"/>
    <cellStyle name="Normal 2 4 2 4 3 7 2" xfId="14011" xr:uid="{46BC09AC-0367-4433-9486-C3434AF40492}"/>
    <cellStyle name="Normal 2 4 2 4 3 7 3" xfId="22458" xr:uid="{FB434F6B-36DA-4C07-97F3-E4A3A2BC6528}"/>
    <cellStyle name="Normal 2 4 2 4 3 8" xfId="9019" xr:uid="{1F22810F-FF7D-4FF4-861A-F2BA8F253428}"/>
    <cellStyle name="Normal 2 4 2 4 3 9" xfId="9794" xr:uid="{132C44BB-3A66-4A27-8CA5-39C1F908ED34}"/>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31384AB8-5FAA-4D60-85F0-8B652C585B50}"/>
    <cellStyle name="Normal 2 4 2 4 4 2 2 3" xfId="25014" xr:uid="{DE43B264-0392-4293-B824-8DB80AC3037F}"/>
    <cellStyle name="Normal 2 4 2 4 4 2 3" xfId="12350" xr:uid="{9B55572A-EB72-4EE5-A3E1-DFF398D7F518}"/>
    <cellStyle name="Normal 2 4 2 4 4 2 4" xfId="20797" xr:uid="{7F16A6D8-B7E3-4458-9853-45DD1F4F36B4}"/>
    <cellStyle name="Normal 2 4 2 4 4 3" xfId="5096" xr:uid="{00000000-0005-0000-0000-0000760F0000}"/>
    <cellStyle name="Normal 2 4 2 4 4 3 2" xfId="14422" xr:uid="{9931A75F-69D0-4206-A478-85669917DE57}"/>
    <cellStyle name="Normal 2 4 2 4 4 3 3" xfId="22869" xr:uid="{BF698948-B7D8-49C1-8E0A-06D5416D6D32}"/>
    <cellStyle name="Normal 2 4 2 4 4 4" xfId="9237" xr:uid="{FF4B133D-A40B-4895-9E3D-E727B18E66C8}"/>
    <cellStyle name="Normal 2 4 2 4 4 5" xfId="10205" xr:uid="{DB763298-D1C5-408B-B745-086175AEDEC2}"/>
    <cellStyle name="Normal 2 4 2 4 4 6" xfId="18652" xr:uid="{80FAA56F-6349-45FC-9AD8-F7B9589E899E}"/>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F065AA9E-4910-4F5E-A941-EBCD278F7EC1}"/>
    <cellStyle name="Normal 2 4 2 4 5 2 2 3" xfId="25427" xr:uid="{D9DBE881-F90F-4E68-9E3C-164243954913}"/>
    <cellStyle name="Normal 2 4 2 4 5 2 3" xfId="12763" xr:uid="{2A94A725-D0C5-4946-BD08-B930C55BA5B0}"/>
    <cellStyle name="Normal 2 4 2 4 5 2 4" xfId="21210" xr:uid="{6EF78A89-6172-4965-92BF-119874FA13AA}"/>
    <cellStyle name="Normal 2 4 2 4 5 3" xfId="5509" xr:uid="{00000000-0005-0000-0000-00007A0F0000}"/>
    <cellStyle name="Normal 2 4 2 4 5 3 2" xfId="14835" xr:uid="{AB0E47AF-93D4-44D2-B56C-710AB4818555}"/>
    <cellStyle name="Normal 2 4 2 4 5 3 3" xfId="23282" xr:uid="{71C25D17-6F22-403C-A85B-49838925EFB4}"/>
    <cellStyle name="Normal 2 4 2 4 5 4" xfId="10618" xr:uid="{D4BFD996-1C2B-4A1C-B8AD-184E3B368CF0}"/>
    <cellStyle name="Normal 2 4 2 4 5 5" xfId="19065" xr:uid="{444EA186-3853-4079-AF70-5642911A7B24}"/>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7268CF61-10AC-42BC-9D8B-D15D8FDE1530}"/>
    <cellStyle name="Normal 2 4 2 4 6 2 2 3" xfId="25840" xr:uid="{61EDB40B-64A2-4089-B4CD-11B442CE0A91}"/>
    <cellStyle name="Normal 2 4 2 4 6 2 3" xfId="13176" xr:uid="{6CFF5F2E-30EC-44B1-9EEA-5D12465A7FC9}"/>
    <cellStyle name="Normal 2 4 2 4 6 2 4" xfId="21623" xr:uid="{FAA3E401-88BF-4C3E-8D5C-7FEB549FC373}"/>
    <cellStyle name="Normal 2 4 2 4 6 3" xfId="5922" xr:uid="{00000000-0005-0000-0000-00007E0F0000}"/>
    <cellStyle name="Normal 2 4 2 4 6 3 2" xfId="15248" xr:uid="{D1A84764-9F33-44E0-BA3C-CCDAD5A0CED6}"/>
    <cellStyle name="Normal 2 4 2 4 6 3 3" xfId="23695" xr:uid="{F96A5A02-2C36-4975-A866-3C926A1F9AD5}"/>
    <cellStyle name="Normal 2 4 2 4 6 4" xfId="11031" xr:uid="{0E188EB6-732B-4E8C-9D28-8CEE5465B8B0}"/>
    <cellStyle name="Normal 2 4 2 4 6 5" xfId="19478" xr:uid="{1A6DE8A4-86C5-40F5-83A7-1F12A11D79FA}"/>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15959D01-9DCA-44EF-B6A0-26581E86322D}"/>
    <cellStyle name="Normal 2 4 2 4 7 2 2 3" xfId="26253" xr:uid="{8D772A10-DAF8-494C-A8EB-94317A7A14ED}"/>
    <cellStyle name="Normal 2 4 2 4 7 2 3" xfId="13589" xr:uid="{8D3E6217-EB96-461C-8FDC-124A7F9EBB85}"/>
    <cellStyle name="Normal 2 4 2 4 7 2 4" xfId="22036" xr:uid="{1933FDEA-7ADC-484E-9924-A502668A9B58}"/>
    <cellStyle name="Normal 2 4 2 4 7 3" xfId="6335" xr:uid="{00000000-0005-0000-0000-0000820F0000}"/>
    <cellStyle name="Normal 2 4 2 4 7 3 2" xfId="15661" xr:uid="{F1F49B2F-D52D-4311-9B58-40261BC38D10}"/>
    <cellStyle name="Normal 2 4 2 4 7 3 3" xfId="24108" xr:uid="{4C41CCE8-3373-4864-B761-BEDDDCA0CCBF}"/>
    <cellStyle name="Normal 2 4 2 4 7 4" xfId="11444" xr:uid="{ECBCE0BB-4E19-4605-BC12-CE57FB0FEF18}"/>
    <cellStyle name="Normal 2 4 2 4 7 5" xfId="19891" xr:uid="{CF751BB0-E8B0-4B70-ABB8-F6D58A0DC16E}"/>
    <cellStyle name="Normal 2 4 2 4 8" xfId="2465" xr:uid="{00000000-0005-0000-0000-0000830F0000}"/>
    <cellStyle name="Normal 2 4 2 4 8 2" xfId="6748" xr:uid="{00000000-0005-0000-0000-0000840F0000}"/>
    <cellStyle name="Normal 2 4 2 4 8 2 2" xfId="16074" xr:uid="{68C0BF36-E59F-4157-8A40-94BF8AD03F65}"/>
    <cellStyle name="Normal 2 4 2 4 8 2 3" xfId="24521" xr:uid="{3AC29CC5-C0D2-4CF0-80B2-5CAE62E2B749}"/>
    <cellStyle name="Normal 2 4 2 4 8 3" xfId="11857" xr:uid="{14982FAE-D02B-4148-AC92-26C5C4D82933}"/>
    <cellStyle name="Normal 2 4 2 4 8 4" xfId="20304" xr:uid="{F9562BC8-D9E6-47F7-A7FC-45E9E731E9D9}"/>
    <cellStyle name="Normal 2 4 2 4 9" xfId="4682" xr:uid="{00000000-0005-0000-0000-0000850F0000}"/>
    <cellStyle name="Normal 2 4 2 4 9 2" xfId="14008" xr:uid="{C136C6A7-9AD6-45BB-877E-BB226D901547}"/>
    <cellStyle name="Normal 2 4 2 4 9 3" xfId="22455" xr:uid="{B902D09E-EBE6-44D4-B17F-08F13743C070}"/>
    <cellStyle name="Normal 2 4 2 5" xfId="293" xr:uid="{00000000-0005-0000-0000-0000860F0000}"/>
    <cellStyle name="Normal 2 4 2 5 10" xfId="9795" xr:uid="{7D67EA92-0C4E-4CE9-9C38-6D63D4A0A75C}"/>
    <cellStyle name="Normal 2 4 2 5 11" xfId="18242" xr:uid="{61A46F72-8E04-4098-8C73-62C8F7C4C516}"/>
    <cellStyle name="Normal 2 4 2 5 2" xfId="294" xr:uid="{00000000-0005-0000-0000-0000870F0000}"/>
    <cellStyle name="Normal 2 4 2 5 2 10" xfId="18243" xr:uid="{FEB71041-9328-4C9A-B410-F6A822DACA1D}"/>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2D4CCA30-1829-4105-8B78-8EDDEBB0CA03}"/>
    <cellStyle name="Normal 2 4 2 5 2 2 2 2 3" xfId="25019" xr:uid="{C30E4883-3DE7-4CED-A1C2-7B5B4D2CA90A}"/>
    <cellStyle name="Normal 2 4 2 5 2 2 2 3" xfId="12355" xr:uid="{F11102C7-412F-4DA2-82E2-9B40831E31DF}"/>
    <cellStyle name="Normal 2 4 2 5 2 2 2 4" xfId="20802" xr:uid="{F2901B63-AD20-47F1-A6A3-962A47DC1281}"/>
    <cellStyle name="Normal 2 4 2 5 2 2 3" xfId="5101" xr:uid="{00000000-0005-0000-0000-00008B0F0000}"/>
    <cellStyle name="Normal 2 4 2 5 2 2 3 2" xfId="14427" xr:uid="{B06EB903-EE0F-4242-8B18-1924501AE4C5}"/>
    <cellStyle name="Normal 2 4 2 5 2 2 3 3" xfId="22874" xr:uid="{995C1798-2603-40CE-BDC9-DC4C1913ECF1}"/>
    <cellStyle name="Normal 2 4 2 5 2 2 4" xfId="9492" xr:uid="{07DC9204-2F52-408E-80EE-617A106DD9FD}"/>
    <cellStyle name="Normal 2 4 2 5 2 2 5" xfId="10210" xr:uid="{1AD10749-1994-4F93-B820-946F0F046929}"/>
    <cellStyle name="Normal 2 4 2 5 2 2 6" xfId="18657" xr:uid="{C68F2060-5AEF-4C8F-9BD5-AB656BB62BCF}"/>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D400FE5C-CEE8-42B2-94E3-563D994AF050}"/>
    <cellStyle name="Normal 2 4 2 5 2 3 2 2 3" xfId="25432" xr:uid="{104CC6B5-6D4C-40A0-8A04-0546F759B270}"/>
    <cellStyle name="Normal 2 4 2 5 2 3 2 3" xfId="12768" xr:uid="{13CA171E-667B-4000-8599-0F22DF966A2F}"/>
    <cellStyle name="Normal 2 4 2 5 2 3 2 4" xfId="21215" xr:uid="{9AA68136-04E8-47C2-A09A-E655E60EE529}"/>
    <cellStyle name="Normal 2 4 2 5 2 3 3" xfId="5514" xr:uid="{00000000-0005-0000-0000-00008F0F0000}"/>
    <cellStyle name="Normal 2 4 2 5 2 3 3 2" xfId="14840" xr:uid="{93603249-1E0A-481A-B2E6-832680EFD7CF}"/>
    <cellStyle name="Normal 2 4 2 5 2 3 3 3" xfId="23287" xr:uid="{D3FA6BD4-51B7-4E7A-8F50-13426FB26BFF}"/>
    <cellStyle name="Normal 2 4 2 5 2 3 4" xfId="10623" xr:uid="{F7AC2E3F-0AAB-46BB-AFC5-7A104FFD6712}"/>
    <cellStyle name="Normal 2 4 2 5 2 3 5" xfId="19070" xr:uid="{F68B30FD-A6B8-4F97-90C5-9D9B27485B2B}"/>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C536CE7B-2A5A-42E8-8BF8-69D030DB68C2}"/>
    <cellStyle name="Normal 2 4 2 5 2 4 2 2 3" xfId="25845" xr:uid="{C8F8301B-593E-40CB-A981-F6CCC73A9DD9}"/>
    <cellStyle name="Normal 2 4 2 5 2 4 2 3" xfId="13181" xr:uid="{0A9C8DC8-70AD-41A6-9AB7-1C37D9576385}"/>
    <cellStyle name="Normal 2 4 2 5 2 4 2 4" xfId="21628" xr:uid="{DDB797E6-6F25-4741-978E-35C1FC2D997F}"/>
    <cellStyle name="Normal 2 4 2 5 2 4 3" xfId="5927" xr:uid="{00000000-0005-0000-0000-0000930F0000}"/>
    <cellStyle name="Normal 2 4 2 5 2 4 3 2" xfId="15253" xr:uid="{772581BC-F5F9-4E82-8463-239E38F6D3C2}"/>
    <cellStyle name="Normal 2 4 2 5 2 4 3 3" xfId="23700" xr:uid="{6D24E041-100B-4548-BE81-DDDAF6D94B6A}"/>
    <cellStyle name="Normal 2 4 2 5 2 4 4" xfId="11036" xr:uid="{BDCA5352-DC6A-4ED8-A085-D7371AA79744}"/>
    <cellStyle name="Normal 2 4 2 5 2 4 5" xfId="19483" xr:uid="{FEA308E5-8434-49F7-A3E1-C7A5092B3BCB}"/>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B1B0B218-910F-4756-9258-95C15A4C40B4}"/>
    <cellStyle name="Normal 2 4 2 5 2 5 2 2 3" xfId="26258" xr:uid="{123D32B7-0680-47A4-A7D0-B8F78DCEE154}"/>
    <cellStyle name="Normal 2 4 2 5 2 5 2 3" xfId="13594" xr:uid="{033572EF-C89D-4B26-80FA-482598CF443E}"/>
    <cellStyle name="Normal 2 4 2 5 2 5 2 4" xfId="22041" xr:uid="{2E61A44F-2140-407F-889A-AAFA195CCA33}"/>
    <cellStyle name="Normal 2 4 2 5 2 5 3" xfId="6340" xr:uid="{00000000-0005-0000-0000-0000970F0000}"/>
    <cellStyle name="Normal 2 4 2 5 2 5 3 2" xfId="15666" xr:uid="{9E033D69-42B3-462D-96D8-60263B222C74}"/>
    <cellStyle name="Normal 2 4 2 5 2 5 3 3" xfId="24113" xr:uid="{82705144-F10E-4A20-94C6-1987AAAB1B76}"/>
    <cellStyle name="Normal 2 4 2 5 2 5 4" xfId="11449" xr:uid="{69EB01B1-2DC6-4498-A896-66EF15ED4F6E}"/>
    <cellStyle name="Normal 2 4 2 5 2 5 5" xfId="19896" xr:uid="{6CCCD85C-2F79-431A-A4C0-B90000F4A624}"/>
    <cellStyle name="Normal 2 4 2 5 2 6" xfId="2470" xr:uid="{00000000-0005-0000-0000-0000980F0000}"/>
    <cellStyle name="Normal 2 4 2 5 2 6 2" xfId="6753" xr:uid="{00000000-0005-0000-0000-0000990F0000}"/>
    <cellStyle name="Normal 2 4 2 5 2 6 2 2" xfId="16079" xr:uid="{46B6ACDA-3905-4CB1-BE8B-452AD6D38504}"/>
    <cellStyle name="Normal 2 4 2 5 2 6 2 3" xfId="24526" xr:uid="{83C39212-6242-4F92-80BD-6A36C52C6041}"/>
    <cellStyle name="Normal 2 4 2 5 2 6 3" xfId="11862" xr:uid="{0739B266-0C2E-47E8-A3AD-57FC5D4A2313}"/>
    <cellStyle name="Normal 2 4 2 5 2 6 4" xfId="20309" xr:uid="{BF602C05-6F8C-4A36-BEEB-FBA92AE6ABB1}"/>
    <cellStyle name="Normal 2 4 2 5 2 7" xfId="4687" xr:uid="{00000000-0005-0000-0000-00009A0F0000}"/>
    <cellStyle name="Normal 2 4 2 5 2 7 2" xfId="14013" xr:uid="{3D0F6179-0A30-4787-A7BF-F9CBF9B78EFB}"/>
    <cellStyle name="Normal 2 4 2 5 2 7 3" xfId="22460" xr:uid="{0DD693CA-9CB4-424C-ABDA-6113CEA5D8DD}"/>
    <cellStyle name="Normal 2 4 2 5 2 8" xfId="9067" xr:uid="{89D5CB5A-ADE0-44B8-BC1E-FDE984B579C9}"/>
    <cellStyle name="Normal 2 4 2 5 2 9" xfId="9796" xr:uid="{7103000D-19CB-4D21-9C7D-371972910BEC}"/>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E384E6D8-7FAF-40C7-B8FD-79F49D1032AB}"/>
    <cellStyle name="Normal 2 4 2 5 3 2 2 3" xfId="25018" xr:uid="{843C2317-67DD-4ADD-B297-829C7F877739}"/>
    <cellStyle name="Normal 2 4 2 5 3 2 3" xfId="12354" xr:uid="{64755D02-9199-4DA3-9A99-281A9FA6C97F}"/>
    <cellStyle name="Normal 2 4 2 5 3 2 4" xfId="20801" xr:uid="{2030C179-629F-422D-9452-85C5D419A67F}"/>
    <cellStyle name="Normal 2 4 2 5 3 3" xfId="5100" xr:uid="{00000000-0005-0000-0000-00009E0F0000}"/>
    <cellStyle name="Normal 2 4 2 5 3 3 2" xfId="14426" xr:uid="{FED6D486-2233-45BE-91AA-2BDB2873D21D}"/>
    <cellStyle name="Normal 2 4 2 5 3 3 3" xfId="22873" xr:uid="{227A43A3-D5D1-4D29-A800-D7816EFC6843}"/>
    <cellStyle name="Normal 2 4 2 5 3 4" xfId="9285" xr:uid="{5DA39FB9-904E-46D3-8E24-58BF2F19DA5B}"/>
    <cellStyle name="Normal 2 4 2 5 3 5" xfId="10209" xr:uid="{4A7617CC-103E-44FD-9A00-C0DB5F35E22D}"/>
    <cellStyle name="Normal 2 4 2 5 3 6" xfId="18656" xr:uid="{AD18BE25-C6A9-4296-8633-56D8EE8BB236}"/>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D4A0CBA8-40A4-41E3-81B0-335197DE266D}"/>
    <cellStyle name="Normal 2 4 2 5 4 2 2 3" xfId="25431" xr:uid="{75232C1D-8074-4B98-B46B-020B6A572B04}"/>
    <cellStyle name="Normal 2 4 2 5 4 2 3" xfId="12767" xr:uid="{E34FB694-EFD1-42E1-A166-E22917D18A9F}"/>
    <cellStyle name="Normal 2 4 2 5 4 2 4" xfId="21214" xr:uid="{6D4533DE-22B8-4CB3-A07B-98180A8A2E7E}"/>
    <cellStyle name="Normal 2 4 2 5 4 3" xfId="5513" xr:uid="{00000000-0005-0000-0000-0000A20F0000}"/>
    <cellStyle name="Normal 2 4 2 5 4 3 2" xfId="14839" xr:uid="{F554830F-5C5B-4C4D-B325-2C33E1BCD37F}"/>
    <cellStyle name="Normal 2 4 2 5 4 3 3" xfId="23286" xr:uid="{974DE9EB-42C1-4D93-931C-42B92F1FEF7D}"/>
    <cellStyle name="Normal 2 4 2 5 4 4" xfId="10622" xr:uid="{AAFB79A6-8FAC-4F70-8212-B3A9EA7499B1}"/>
    <cellStyle name="Normal 2 4 2 5 4 5" xfId="19069" xr:uid="{4F826C86-D96E-4238-B997-1157B104851D}"/>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72C6DEB1-52A8-44B6-889A-28F08AC1D082}"/>
    <cellStyle name="Normal 2 4 2 5 5 2 2 3" xfId="25844" xr:uid="{C87794F4-7BA4-49E1-9937-E87DB26A33F0}"/>
    <cellStyle name="Normal 2 4 2 5 5 2 3" xfId="13180" xr:uid="{27A55A92-E0C2-4F06-BB79-FACE97E02D06}"/>
    <cellStyle name="Normal 2 4 2 5 5 2 4" xfId="21627" xr:uid="{4ADB7774-E972-42CD-823F-A5026E4E334E}"/>
    <cellStyle name="Normal 2 4 2 5 5 3" xfId="5926" xr:uid="{00000000-0005-0000-0000-0000A60F0000}"/>
    <cellStyle name="Normal 2 4 2 5 5 3 2" xfId="15252" xr:uid="{F700F048-88D0-42A2-9D3C-A8CAD7ACF97D}"/>
    <cellStyle name="Normal 2 4 2 5 5 3 3" xfId="23699" xr:uid="{8F33D81A-EB62-47AC-8A74-190AB0305539}"/>
    <cellStyle name="Normal 2 4 2 5 5 4" xfId="11035" xr:uid="{016D3170-0E76-4348-A632-2A30BE3A61E3}"/>
    <cellStyle name="Normal 2 4 2 5 5 5" xfId="19482" xr:uid="{0E27AD8F-BA80-44F8-BCF6-848C832C7BB6}"/>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85185242-CAF7-4AEA-9CBC-7B7FF23E34DB}"/>
    <cellStyle name="Normal 2 4 2 5 6 2 2 3" xfId="26257" xr:uid="{D7689709-6143-4865-A0CB-24E0203F4499}"/>
    <cellStyle name="Normal 2 4 2 5 6 2 3" xfId="13593" xr:uid="{B2A791E2-233C-46DA-A431-D2CF4C117B85}"/>
    <cellStyle name="Normal 2 4 2 5 6 2 4" xfId="22040" xr:uid="{E68B3F04-6D6C-45C8-A2E6-988795E54071}"/>
    <cellStyle name="Normal 2 4 2 5 6 3" xfId="6339" xr:uid="{00000000-0005-0000-0000-0000AA0F0000}"/>
    <cellStyle name="Normal 2 4 2 5 6 3 2" xfId="15665" xr:uid="{6E642368-ECBB-406F-AAFC-99882857F7D5}"/>
    <cellStyle name="Normal 2 4 2 5 6 3 3" xfId="24112" xr:uid="{AADB7B70-870A-46E8-A123-C1DC0F890FF6}"/>
    <cellStyle name="Normal 2 4 2 5 6 4" xfId="11448" xr:uid="{3842C3F9-8BED-471B-9AD7-65F74AABFC2C}"/>
    <cellStyle name="Normal 2 4 2 5 6 5" xfId="19895" xr:uid="{3E684E57-74B0-4779-A8CB-6E655C51A938}"/>
    <cellStyle name="Normal 2 4 2 5 7" xfId="2469" xr:uid="{00000000-0005-0000-0000-0000AB0F0000}"/>
    <cellStyle name="Normal 2 4 2 5 7 2" xfId="6752" xr:uid="{00000000-0005-0000-0000-0000AC0F0000}"/>
    <cellStyle name="Normal 2 4 2 5 7 2 2" xfId="16078" xr:uid="{94034576-C1BF-43EB-A302-C96327E43235}"/>
    <cellStyle name="Normal 2 4 2 5 7 2 3" xfId="24525" xr:uid="{F3A0F8DE-06D3-46DA-AAD4-CC52647627F6}"/>
    <cellStyle name="Normal 2 4 2 5 7 3" xfId="11861" xr:uid="{85A287A6-E80B-4100-BF4E-E589DD3A13C6}"/>
    <cellStyle name="Normal 2 4 2 5 7 4" xfId="20308" xr:uid="{E3E82BCA-6F38-47AA-96CA-3F7A99C1209D}"/>
    <cellStyle name="Normal 2 4 2 5 8" xfId="4686" xr:uid="{00000000-0005-0000-0000-0000AD0F0000}"/>
    <cellStyle name="Normal 2 4 2 5 8 2" xfId="14012" xr:uid="{721DEBAD-EE21-496C-A975-FC4708C2C8D9}"/>
    <cellStyle name="Normal 2 4 2 5 8 3" xfId="22459" xr:uid="{436E084E-CA06-4692-B7E5-CA9843B6CF29}"/>
    <cellStyle name="Normal 2 4 2 5 9" xfId="8860" xr:uid="{5FAFEFC0-3249-464B-9F12-2B1DA137C588}"/>
    <cellStyle name="Normal 2 4 2 6" xfId="295" xr:uid="{00000000-0005-0000-0000-0000AE0F0000}"/>
    <cellStyle name="Normal 2 4 2 6 10" xfId="18244" xr:uid="{C584672A-0F2D-4CCC-9DA9-3CFC10F01A0B}"/>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56A25E27-460C-4AAD-969C-C7A51B3B3F9A}"/>
    <cellStyle name="Normal 2 4 2 6 2 2 2 3" xfId="25020" xr:uid="{A15CBFC8-9E75-4B35-A18E-8DF833F9409A}"/>
    <cellStyle name="Normal 2 4 2 6 2 2 3" xfId="12356" xr:uid="{2DE141EA-FCC0-45BF-80FC-6FFD08EABAD2}"/>
    <cellStyle name="Normal 2 4 2 6 2 2 4" xfId="20803" xr:uid="{2F0AF4F9-56DB-4374-8598-8F19F0199921}"/>
    <cellStyle name="Normal 2 4 2 6 2 3" xfId="5102" xr:uid="{00000000-0005-0000-0000-0000B20F0000}"/>
    <cellStyle name="Normal 2 4 2 6 2 3 2" xfId="14428" xr:uid="{A75C5E23-4C02-4888-B12D-223480EE7346}"/>
    <cellStyle name="Normal 2 4 2 6 2 3 3" xfId="22875" xr:uid="{C751D22F-FEC4-448B-A2D8-FB46981E1EB5}"/>
    <cellStyle name="Normal 2 4 2 6 2 4" xfId="9401" xr:uid="{C89DD342-23DD-474B-84C5-F9DED42F169B}"/>
    <cellStyle name="Normal 2 4 2 6 2 5" xfId="10211" xr:uid="{E22194E0-C7BD-4CBE-9525-CB287FEDB93B}"/>
    <cellStyle name="Normal 2 4 2 6 2 6" xfId="18658" xr:uid="{F1F67FE0-8239-49AE-97A0-15DE9211808B}"/>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1BEA06CD-64FD-45D3-9DF6-AE45224C782A}"/>
    <cellStyle name="Normal 2 4 2 6 3 2 2 3" xfId="25433" xr:uid="{1318D426-F9C1-46C4-A8B9-DBC8D38EAA52}"/>
    <cellStyle name="Normal 2 4 2 6 3 2 3" xfId="12769" xr:uid="{40F0EFE0-0B07-4143-9B29-7F04191B8484}"/>
    <cellStyle name="Normal 2 4 2 6 3 2 4" xfId="21216" xr:uid="{63CC0602-2595-49A0-A259-EF57A7D77CCB}"/>
    <cellStyle name="Normal 2 4 2 6 3 3" xfId="5515" xr:uid="{00000000-0005-0000-0000-0000B60F0000}"/>
    <cellStyle name="Normal 2 4 2 6 3 3 2" xfId="14841" xr:uid="{8283B98D-53ED-4439-AE12-3460982A5F7C}"/>
    <cellStyle name="Normal 2 4 2 6 3 3 3" xfId="23288" xr:uid="{D240B87D-710C-45A7-B2E8-C2E41BD9B243}"/>
    <cellStyle name="Normal 2 4 2 6 3 4" xfId="10624" xr:uid="{8ECB5944-9F07-4FAC-990D-DABC5043830E}"/>
    <cellStyle name="Normal 2 4 2 6 3 5" xfId="19071" xr:uid="{62ECC50F-1327-4420-8B9B-CA2B0857DBFB}"/>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FC83ED72-47EF-4761-9CEA-BF2E4D056097}"/>
    <cellStyle name="Normal 2 4 2 6 4 2 2 3" xfId="25846" xr:uid="{5B8B9109-2717-46F6-BC25-41D4D2ABB476}"/>
    <cellStyle name="Normal 2 4 2 6 4 2 3" xfId="13182" xr:uid="{E601752D-4169-47B4-806C-D78280D35ACC}"/>
    <cellStyle name="Normal 2 4 2 6 4 2 4" xfId="21629" xr:uid="{2E1B829C-FABF-415A-A17B-898F532A3DBB}"/>
    <cellStyle name="Normal 2 4 2 6 4 3" xfId="5928" xr:uid="{00000000-0005-0000-0000-0000BA0F0000}"/>
    <cellStyle name="Normal 2 4 2 6 4 3 2" xfId="15254" xr:uid="{77227E07-E73C-4223-B266-55F7750E86A9}"/>
    <cellStyle name="Normal 2 4 2 6 4 3 3" xfId="23701" xr:uid="{30DD87B4-965B-41E8-9C67-DF9814E453C9}"/>
    <cellStyle name="Normal 2 4 2 6 4 4" xfId="11037" xr:uid="{65AC8AA8-A43D-4C2D-9A6B-822CA0BC1DBA}"/>
    <cellStyle name="Normal 2 4 2 6 4 5" xfId="19484" xr:uid="{B747295A-9165-4F21-AF38-A375A43E768E}"/>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341F302A-6074-4B27-BBDD-A6829DE119F7}"/>
    <cellStyle name="Normal 2 4 2 6 5 2 2 3" xfId="26259" xr:uid="{9898F3D9-3ABE-43BA-8B5F-8B7EE9E39B3D}"/>
    <cellStyle name="Normal 2 4 2 6 5 2 3" xfId="13595" xr:uid="{BD68F103-A68F-40DC-9C64-9B1AB9574920}"/>
    <cellStyle name="Normal 2 4 2 6 5 2 4" xfId="22042" xr:uid="{401F18B6-3ECB-47BE-8A42-0ABAD31515BA}"/>
    <cellStyle name="Normal 2 4 2 6 5 3" xfId="6341" xr:uid="{00000000-0005-0000-0000-0000BE0F0000}"/>
    <cellStyle name="Normal 2 4 2 6 5 3 2" xfId="15667" xr:uid="{5377E82B-0A13-4C32-AF75-20DD5E7A985E}"/>
    <cellStyle name="Normal 2 4 2 6 5 3 3" xfId="24114" xr:uid="{559965F4-A530-49FA-81C1-B8AA5922F104}"/>
    <cellStyle name="Normal 2 4 2 6 5 4" xfId="11450" xr:uid="{3DFD3154-9C85-4F5E-BCED-0619C8EB0D28}"/>
    <cellStyle name="Normal 2 4 2 6 5 5" xfId="19897" xr:uid="{F0575E93-DC75-4995-A5E6-75DF50D344A0}"/>
    <cellStyle name="Normal 2 4 2 6 6" xfId="2471" xr:uid="{00000000-0005-0000-0000-0000BF0F0000}"/>
    <cellStyle name="Normal 2 4 2 6 6 2" xfId="6754" xr:uid="{00000000-0005-0000-0000-0000C00F0000}"/>
    <cellStyle name="Normal 2 4 2 6 6 2 2" xfId="16080" xr:uid="{A1466619-3E83-4EF3-8F87-FA2983BB256F}"/>
    <cellStyle name="Normal 2 4 2 6 6 2 3" xfId="24527" xr:uid="{C002DC42-63A2-479C-8216-72A112F5ABF3}"/>
    <cellStyle name="Normal 2 4 2 6 6 3" xfId="11863" xr:uid="{DE0D3573-51ED-498C-AE9E-C672968A76C3}"/>
    <cellStyle name="Normal 2 4 2 6 6 4" xfId="20310" xr:uid="{5545AC10-678E-4FA5-AAEC-3054D7468A27}"/>
    <cellStyle name="Normal 2 4 2 6 7" xfId="4688" xr:uid="{00000000-0005-0000-0000-0000C10F0000}"/>
    <cellStyle name="Normal 2 4 2 6 7 2" xfId="14014" xr:uid="{08EEB157-2E92-4F6C-8C7C-0E8D28A691E5}"/>
    <cellStyle name="Normal 2 4 2 6 7 3" xfId="22461" xr:uid="{B2884C65-FFFF-41B2-B60B-6BC772ED82C7}"/>
    <cellStyle name="Normal 2 4 2 6 8" xfId="8976" xr:uid="{6DEAFF8C-68CB-4364-A161-479509F453AE}"/>
    <cellStyle name="Normal 2 4 2 6 9" xfId="9797" xr:uid="{4F65FCBA-39E6-4284-96CB-EF9BA9D7F1FC}"/>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9ABABAF8-9027-4EBE-A323-A82E0052D162}"/>
    <cellStyle name="Normal 2 4 2 7 2 2 3" xfId="25005" xr:uid="{E88D2AA4-4855-4257-963E-E6DA30613C21}"/>
    <cellStyle name="Normal 2 4 2 7 2 3" xfId="12341" xr:uid="{085A15AC-E2A7-448E-879A-87F5C2BC0C90}"/>
    <cellStyle name="Normal 2 4 2 7 2 4" xfId="20788" xr:uid="{97FE5EFC-EBBE-4283-8D74-93C6CBB03AF4}"/>
    <cellStyle name="Normal 2 4 2 7 3" xfId="5087" xr:uid="{00000000-0005-0000-0000-0000C50F0000}"/>
    <cellStyle name="Normal 2 4 2 7 3 2" xfId="14413" xr:uid="{B30260F9-B992-43E7-825E-280AD37886F0}"/>
    <cellStyle name="Normal 2 4 2 7 3 3" xfId="22860" xr:uid="{E0B779BD-9CA5-4490-8F77-D861ACFA838C}"/>
    <cellStyle name="Normal 2 4 2 7 4" xfId="9179" xr:uid="{D1C44CED-398E-43B3-AFA3-1E7DC60C5D92}"/>
    <cellStyle name="Normal 2 4 2 7 5" xfId="10196" xr:uid="{6AB5148F-877B-4686-A970-9BE0AAA38E00}"/>
    <cellStyle name="Normal 2 4 2 7 6" xfId="18643" xr:uid="{FC263EB0-91D9-45B0-8C4D-34C96F67946F}"/>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32082B82-3208-4AD8-B182-2D346E3AFBAE}"/>
    <cellStyle name="Normal 2 4 2 8 2 2 3" xfId="25418" xr:uid="{9C3DE6D6-DB11-4527-AABB-CDB4650AC1B0}"/>
    <cellStyle name="Normal 2 4 2 8 2 3" xfId="12754" xr:uid="{98802BB2-E383-44BE-8D54-1511E6DA9010}"/>
    <cellStyle name="Normal 2 4 2 8 2 4" xfId="21201" xr:uid="{3288DFED-61A9-4C68-A581-004378AB7853}"/>
    <cellStyle name="Normal 2 4 2 8 3" xfId="5500" xr:uid="{00000000-0005-0000-0000-0000C90F0000}"/>
    <cellStyle name="Normal 2 4 2 8 3 2" xfId="14826" xr:uid="{24F8BAFC-9182-4067-B824-4EE68631585A}"/>
    <cellStyle name="Normal 2 4 2 8 3 3" xfId="23273" xr:uid="{630872B6-FD53-43F0-9295-20B63B074835}"/>
    <cellStyle name="Normal 2 4 2 8 4" xfId="10609" xr:uid="{5720EF58-3B47-46D5-A19E-5BD031048598}"/>
    <cellStyle name="Normal 2 4 2 8 5" xfId="19056" xr:uid="{A54964A6-E803-462B-B02E-B05E6C182822}"/>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AC61EDBC-BF11-4590-A1CA-A05540ECB319}"/>
    <cellStyle name="Normal 2 4 2 9 2 2 3" xfId="25831" xr:uid="{3E115921-5EFF-4FA9-BCA7-0436348447E1}"/>
    <cellStyle name="Normal 2 4 2 9 2 3" xfId="13167" xr:uid="{3EC70D30-575C-4D66-B354-52697964A9F1}"/>
    <cellStyle name="Normal 2 4 2 9 2 4" xfId="21614" xr:uid="{74B02F6A-477D-407A-89CA-64366AEED852}"/>
    <cellStyle name="Normal 2 4 2 9 3" xfId="5913" xr:uid="{00000000-0005-0000-0000-0000CD0F0000}"/>
    <cellStyle name="Normal 2 4 2 9 3 2" xfId="15239" xr:uid="{289B87C4-9BFD-44AC-BFCF-BD8060084B56}"/>
    <cellStyle name="Normal 2 4 2 9 3 3" xfId="23686" xr:uid="{F4C66CE4-079C-4991-9259-6F2E31E9EA13}"/>
    <cellStyle name="Normal 2 4 2 9 4" xfId="11022" xr:uid="{7F8266EC-1B34-4CD1-80C8-1C62371007B9}"/>
    <cellStyle name="Normal 2 4 2 9 5" xfId="19469" xr:uid="{04888538-E35A-4B84-BFF2-BCBB24398F91}"/>
    <cellStyle name="Normal 2 4 3" xfId="296" xr:uid="{00000000-0005-0000-0000-0000CE0F0000}"/>
    <cellStyle name="Normal 2 4 3 10" xfId="9798" xr:uid="{426D7BDE-4B44-4CE9-B2E0-62A75451B777}"/>
    <cellStyle name="Normal 2 4 3 11" xfId="18245" xr:uid="{000767CC-1AB0-49C7-997C-DD55F9C3B662}"/>
    <cellStyle name="Normal 2 4 3 2" xfId="297" xr:uid="{00000000-0005-0000-0000-0000CF0F0000}"/>
    <cellStyle name="Normal 2 4 3 3" xfId="298" xr:uid="{00000000-0005-0000-0000-0000D00F0000}"/>
    <cellStyle name="Normal 2 4 3 3 10" xfId="8814" xr:uid="{F78EFD99-FCC5-4915-ACA3-DFC3FC0D45A5}"/>
    <cellStyle name="Normal 2 4 3 3 11" xfId="9799" xr:uid="{0811BEB8-2AFA-4112-B234-C7241E0F01B3}"/>
    <cellStyle name="Normal 2 4 3 3 12" xfId="18246" xr:uid="{BD7CAA6C-14F2-4D4D-BF40-BE08D5FDE74E}"/>
    <cellStyle name="Normal 2 4 3 3 2" xfId="299" xr:uid="{00000000-0005-0000-0000-0000D10F0000}"/>
    <cellStyle name="Normal 2 4 3 3 2 10" xfId="9800" xr:uid="{F8A90082-F952-45DD-A09B-0C561C7DF16C}"/>
    <cellStyle name="Normal 2 4 3 3 2 11" xfId="18247" xr:uid="{1F3A8227-DEE5-4FA4-B40A-980CFD6D9CCA}"/>
    <cellStyle name="Normal 2 4 3 3 2 2" xfId="300" xr:uid="{00000000-0005-0000-0000-0000D20F0000}"/>
    <cellStyle name="Normal 2 4 3 3 2 2 10" xfId="18248" xr:uid="{AD825AD7-7CA7-48C3-B375-05B6C1A907DC}"/>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AF0B8591-B9B4-492F-AAF3-1EDDAF122FBA}"/>
    <cellStyle name="Normal 2 4 3 3 2 2 2 2 2 3" xfId="25024" xr:uid="{8BEBD4D5-B110-462D-9E3B-5224156693B3}"/>
    <cellStyle name="Normal 2 4 3 3 2 2 2 2 3" xfId="12360" xr:uid="{FDD2C929-22A7-48E4-9A05-EA426F1515BA}"/>
    <cellStyle name="Normal 2 4 3 3 2 2 2 2 4" xfId="20807" xr:uid="{78C5D867-7271-46EC-A00D-48B8CDC71656}"/>
    <cellStyle name="Normal 2 4 3 3 2 2 2 3" xfId="5106" xr:uid="{00000000-0005-0000-0000-0000D60F0000}"/>
    <cellStyle name="Normal 2 4 3 3 2 2 2 3 2" xfId="14432" xr:uid="{B0AB0CFC-C155-42CE-A6FB-167AFBA41F51}"/>
    <cellStyle name="Normal 2 4 3 3 2 2 2 3 3" xfId="22879" xr:uid="{8D9CFAB6-46E1-4045-81BB-D44E8A865327}"/>
    <cellStyle name="Normal 2 4 3 3 2 2 2 4" xfId="9549" xr:uid="{EA88B7BC-E37D-4688-A768-0D7FE5EF9F42}"/>
    <cellStyle name="Normal 2 4 3 3 2 2 2 5" xfId="10215" xr:uid="{9F8438CA-1820-4C7D-945A-3E4BB1018E66}"/>
    <cellStyle name="Normal 2 4 3 3 2 2 2 6" xfId="18662" xr:uid="{91452C25-1AFB-4E56-9E70-50B234F71AC4}"/>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C920821B-0744-4AE1-8C2F-BBEC8B64D5FC}"/>
    <cellStyle name="Normal 2 4 3 3 2 2 3 2 2 3" xfId="25437" xr:uid="{F013E9B9-61B5-4290-B9CB-8FFBB153F05B}"/>
    <cellStyle name="Normal 2 4 3 3 2 2 3 2 3" xfId="12773" xr:uid="{51C6F54A-0396-4DBF-907E-257F5F5933D1}"/>
    <cellStyle name="Normal 2 4 3 3 2 2 3 2 4" xfId="21220" xr:uid="{26C0AD96-0E89-43C6-9C9E-D8069CC550BB}"/>
    <cellStyle name="Normal 2 4 3 3 2 2 3 3" xfId="5519" xr:uid="{00000000-0005-0000-0000-0000DA0F0000}"/>
    <cellStyle name="Normal 2 4 3 3 2 2 3 3 2" xfId="14845" xr:uid="{EB3B3A0E-802F-4DB6-869B-8AAA324BAB59}"/>
    <cellStyle name="Normal 2 4 3 3 2 2 3 3 3" xfId="23292" xr:uid="{452826DB-8218-41F7-898A-E6CF679D839C}"/>
    <cellStyle name="Normal 2 4 3 3 2 2 3 4" xfId="10628" xr:uid="{866B6828-C79F-47E0-B1D8-44B09AAB4EE1}"/>
    <cellStyle name="Normal 2 4 3 3 2 2 3 5" xfId="19075" xr:uid="{50798FAD-7A5D-403B-93E0-E57238EAFE56}"/>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2FC6348A-4E3E-4686-A183-523A501D8283}"/>
    <cellStyle name="Normal 2 4 3 3 2 2 4 2 2 3" xfId="25850" xr:uid="{4E21045B-EA99-4866-9F7E-884645EE0A76}"/>
    <cellStyle name="Normal 2 4 3 3 2 2 4 2 3" xfId="13186" xr:uid="{199A500E-558D-4FD4-8D3C-9BD2EDCDCDDC}"/>
    <cellStyle name="Normal 2 4 3 3 2 2 4 2 4" xfId="21633" xr:uid="{64A9716E-52C1-407E-949F-E27B15099CDA}"/>
    <cellStyle name="Normal 2 4 3 3 2 2 4 3" xfId="5932" xr:uid="{00000000-0005-0000-0000-0000DE0F0000}"/>
    <cellStyle name="Normal 2 4 3 3 2 2 4 3 2" xfId="15258" xr:uid="{E42F7383-9EB9-4031-A522-8E9FF740CF51}"/>
    <cellStyle name="Normal 2 4 3 3 2 2 4 3 3" xfId="23705" xr:uid="{F2DC5F68-86C3-4AF3-AC59-BF6C8640B593}"/>
    <cellStyle name="Normal 2 4 3 3 2 2 4 4" xfId="11041" xr:uid="{4CD8EFAC-4015-4D04-9DB7-C7670F78C38E}"/>
    <cellStyle name="Normal 2 4 3 3 2 2 4 5" xfId="19488" xr:uid="{27B45761-117F-4BFF-A042-12A5C369FEF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9C9F9D9F-9208-45A5-B384-CE2B1AFE9F93}"/>
    <cellStyle name="Normal 2 4 3 3 2 2 5 2 2 3" xfId="26263" xr:uid="{66B113EC-4513-4A7C-A16B-DFB7100B1B8F}"/>
    <cellStyle name="Normal 2 4 3 3 2 2 5 2 3" xfId="13599" xr:uid="{17BD38F4-3AB2-4C1D-8384-6C95D8507A54}"/>
    <cellStyle name="Normal 2 4 3 3 2 2 5 2 4" xfId="22046" xr:uid="{3A7C52AA-F094-41E4-8C5C-C55F6B3AC267}"/>
    <cellStyle name="Normal 2 4 3 3 2 2 5 3" xfId="6345" xr:uid="{00000000-0005-0000-0000-0000E20F0000}"/>
    <cellStyle name="Normal 2 4 3 3 2 2 5 3 2" xfId="15671" xr:uid="{B72CE5D6-8A39-46A3-A2BD-38035B4BE32E}"/>
    <cellStyle name="Normal 2 4 3 3 2 2 5 3 3" xfId="24118" xr:uid="{C8D7DF4C-A004-45EB-B5BA-262115E4EF25}"/>
    <cellStyle name="Normal 2 4 3 3 2 2 5 4" xfId="11454" xr:uid="{B070E987-E6A4-479D-8BBD-8C6D579388B0}"/>
    <cellStyle name="Normal 2 4 3 3 2 2 5 5" xfId="19901" xr:uid="{7A529292-642B-424B-AEF0-7A224E557B47}"/>
    <cellStyle name="Normal 2 4 3 3 2 2 6" xfId="2475" xr:uid="{00000000-0005-0000-0000-0000E30F0000}"/>
    <cellStyle name="Normal 2 4 3 3 2 2 6 2" xfId="6758" xr:uid="{00000000-0005-0000-0000-0000E40F0000}"/>
    <cellStyle name="Normal 2 4 3 3 2 2 6 2 2" xfId="16084" xr:uid="{5CE7513F-69D4-44FF-A37F-CDEF4F30E61E}"/>
    <cellStyle name="Normal 2 4 3 3 2 2 6 2 3" xfId="24531" xr:uid="{6B60D729-CEC0-448B-A5BE-EF8CB85264C9}"/>
    <cellStyle name="Normal 2 4 3 3 2 2 6 3" xfId="11867" xr:uid="{A6D8B879-9314-478B-94A9-5934CF681BB7}"/>
    <cellStyle name="Normal 2 4 3 3 2 2 6 4" xfId="20314" xr:uid="{50FCB27D-6944-4BA3-9269-5DFDEB2FAA59}"/>
    <cellStyle name="Normal 2 4 3 3 2 2 7" xfId="4692" xr:uid="{00000000-0005-0000-0000-0000E50F0000}"/>
    <cellStyle name="Normal 2 4 3 3 2 2 7 2" xfId="14018" xr:uid="{A9CACBD2-9B45-4412-9E1E-D8955603A14D}"/>
    <cellStyle name="Normal 2 4 3 3 2 2 7 3" xfId="22465" xr:uid="{ECAEE7BC-1ED2-4745-8C4B-C2DC46EDB60C}"/>
    <cellStyle name="Normal 2 4 3 3 2 2 8" xfId="9124" xr:uid="{1FF2B195-09C8-4D7B-A363-E8AF809A669B}"/>
    <cellStyle name="Normal 2 4 3 3 2 2 9" xfId="9801" xr:uid="{38800B16-7182-4E9A-95EB-AF7A4FB319F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A84C79C6-8475-42E1-B66F-3416CB97B0D7}"/>
    <cellStyle name="Normal 2 4 3 3 2 3 2 2 3" xfId="25023" xr:uid="{99B91265-6A31-40ED-81DA-5235007C878E}"/>
    <cellStyle name="Normal 2 4 3 3 2 3 2 3" xfId="12359" xr:uid="{270E7D45-0AB7-4D59-B704-03924DCB4BE4}"/>
    <cellStyle name="Normal 2 4 3 3 2 3 2 4" xfId="20806" xr:uid="{0B5C36FB-DCC3-486B-A4C0-DA7977D04193}"/>
    <cellStyle name="Normal 2 4 3 3 2 3 3" xfId="5105" xr:uid="{00000000-0005-0000-0000-0000E90F0000}"/>
    <cellStyle name="Normal 2 4 3 3 2 3 3 2" xfId="14431" xr:uid="{09A32E25-DACE-4591-9537-ADFAF4E0BF4A}"/>
    <cellStyle name="Normal 2 4 3 3 2 3 3 3" xfId="22878" xr:uid="{388A4FA3-4900-48A3-A752-F2AD51EA6E65}"/>
    <cellStyle name="Normal 2 4 3 3 2 3 4" xfId="9342" xr:uid="{41454CF9-47C1-4E8A-868A-8F39341308EB}"/>
    <cellStyle name="Normal 2 4 3 3 2 3 5" xfId="10214" xr:uid="{96726CBD-6000-4649-B63A-B8EB057B0FAF}"/>
    <cellStyle name="Normal 2 4 3 3 2 3 6" xfId="18661" xr:uid="{FC4BA937-9C7A-407E-B0C0-118F7D84EAAA}"/>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3298AB29-EDD2-444D-92FA-503EF053297D}"/>
    <cellStyle name="Normal 2 4 3 3 2 4 2 2 3" xfId="25436" xr:uid="{69548AE9-03BA-494B-9C00-CEC62566B81F}"/>
    <cellStyle name="Normal 2 4 3 3 2 4 2 3" xfId="12772" xr:uid="{B3F0E06F-7620-4C0E-964A-2358E1182B7D}"/>
    <cellStyle name="Normal 2 4 3 3 2 4 2 4" xfId="21219" xr:uid="{3090FAEF-DBDA-4130-80F2-CF0C5A85C999}"/>
    <cellStyle name="Normal 2 4 3 3 2 4 3" xfId="5518" xr:uid="{00000000-0005-0000-0000-0000ED0F0000}"/>
    <cellStyle name="Normal 2 4 3 3 2 4 3 2" xfId="14844" xr:uid="{1BD08EDD-9D10-4F31-9002-BE552BF1904E}"/>
    <cellStyle name="Normal 2 4 3 3 2 4 3 3" xfId="23291" xr:uid="{CE9835B3-AC78-4A07-ADB0-3566E9AC1EDA}"/>
    <cellStyle name="Normal 2 4 3 3 2 4 4" xfId="10627" xr:uid="{CB6F9C3C-B131-4E39-859D-BC1FAA1BC042}"/>
    <cellStyle name="Normal 2 4 3 3 2 4 5" xfId="19074" xr:uid="{E32F26DF-7A31-49DA-A7A9-E7F7B67A25EA}"/>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3C7C345C-E159-43CA-B6A7-69429827537E}"/>
    <cellStyle name="Normal 2 4 3 3 2 5 2 2 3" xfId="25849" xr:uid="{11796E66-A071-4DC1-AB67-854D559BE615}"/>
    <cellStyle name="Normal 2 4 3 3 2 5 2 3" xfId="13185" xr:uid="{E34D99E2-C2C0-46D7-B034-D80CFD4546A7}"/>
    <cellStyle name="Normal 2 4 3 3 2 5 2 4" xfId="21632" xr:uid="{5B573370-76A8-4522-995C-ED8FB47C4B00}"/>
    <cellStyle name="Normal 2 4 3 3 2 5 3" xfId="5931" xr:uid="{00000000-0005-0000-0000-0000F10F0000}"/>
    <cellStyle name="Normal 2 4 3 3 2 5 3 2" xfId="15257" xr:uid="{D7C06BCB-E831-4B4B-8052-8EAC890A8A1C}"/>
    <cellStyle name="Normal 2 4 3 3 2 5 3 3" xfId="23704" xr:uid="{4244A737-D89A-427A-B326-BA2448AE0008}"/>
    <cellStyle name="Normal 2 4 3 3 2 5 4" xfId="11040" xr:uid="{AA8D4D91-0AF5-4177-A34E-5DE615302616}"/>
    <cellStyle name="Normal 2 4 3 3 2 5 5" xfId="19487" xr:uid="{2F586CBD-22C9-47F6-A787-01B28C408B18}"/>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C3431C52-CEEA-442C-BA79-DD7B400C7712}"/>
    <cellStyle name="Normal 2 4 3 3 2 6 2 2 3" xfId="26262" xr:uid="{6D93D5D0-F9C3-41CA-B1C1-AA9D7758CA99}"/>
    <cellStyle name="Normal 2 4 3 3 2 6 2 3" xfId="13598" xr:uid="{AD678440-0636-468C-8914-8D9FC2E5A145}"/>
    <cellStyle name="Normal 2 4 3 3 2 6 2 4" xfId="22045" xr:uid="{ABCFBAFB-66CA-407F-B52B-4ED041CF39A6}"/>
    <cellStyle name="Normal 2 4 3 3 2 6 3" xfId="6344" xr:uid="{00000000-0005-0000-0000-0000F50F0000}"/>
    <cellStyle name="Normal 2 4 3 3 2 6 3 2" xfId="15670" xr:uid="{31A2FE7C-4486-4440-8DD8-E0B4C2D6B1E4}"/>
    <cellStyle name="Normal 2 4 3 3 2 6 3 3" xfId="24117" xr:uid="{041AE672-5037-4B1D-9137-63CB6A610F5E}"/>
    <cellStyle name="Normal 2 4 3 3 2 6 4" xfId="11453" xr:uid="{A587A97A-5A43-4F09-8395-A5387D03856F}"/>
    <cellStyle name="Normal 2 4 3 3 2 6 5" xfId="19900" xr:uid="{5A436E01-BB77-477E-83A7-8914A43311B8}"/>
    <cellStyle name="Normal 2 4 3 3 2 7" xfId="2474" xr:uid="{00000000-0005-0000-0000-0000F60F0000}"/>
    <cellStyle name="Normal 2 4 3 3 2 7 2" xfId="6757" xr:uid="{00000000-0005-0000-0000-0000F70F0000}"/>
    <cellStyle name="Normal 2 4 3 3 2 7 2 2" xfId="16083" xr:uid="{8A74A7C9-F48A-4188-964C-AEB55E558B5D}"/>
    <cellStyle name="Normal 2 4 3 3 2 7 2 3" xfId="24530" xr:uid="{341B3087-5730-48C5-B897-79FBB143A0B5}"/>
    <cellStyle name="Normal 2 4 3 3 2 7 3" xfId="11866" xr:uid="{7146F134-B0E1-4543-ABAD-0073672DC85D}"/>
    <cellStyle name="Normal 2 4 3 3 2 7 4" xfId="20313" xr:uid="{B7FB58CC-5942-4281-992E-79136E0F47FA}"/>
    <cellStyle name="Normal 2 4 3 3 2 8" xfId="4691" xr:uid="{00000000-0005-0000-0000-0000F80F0000}"/>
    <cellStyle name="Normal 2 4 3 3 2 8 2" xfId="14017" xr:uid="{91E138D9-6C54-46B6-9F3C-E55730BC5648}"/>
    <cellStyle name="Normal 2 4 3 3 2 8 3" xfId="22464" xr:uid="{A1B4C512-66DC-4EC6-9520-268BBF30BA63}"/>
    <cellStyle name="Normal 2 4 3 3 2 9" xfId="8917" xr:uid="{1E22693C-F4B1-4678-80B0-65CF6DC31586}"/>
    <cellStyle name="Normal 2 4 3 3 3" xfId="301" xr:uid="{00000000-0005-0000-0000-0000F90F0000}"/>
    <cellStyle name="Normal 2 4 3 3 3 10" xfId="18249" xr:uid="{9E559EFA-E2C5-4F8C-A047-4B0DACC24C6E}"/>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76A88E5F-A091-40F7-9200-5C895D5B59FE}"/>
    <cellStyle name="Normal 2 4 3 3 3 2 2 2 3" xfId="25025" xr:uid="{37A119B0-BB28-47AB-A47C-78865883CCC5}"/>
    <cellStyle name="Normal 2 4 3 3 3 2 2 3" xfId="12361" xr:uid="{7BF72F95-9A7A-4DFD-808B-2193E73A40FE}"/>
    <cellStyle name="Normal 2 4 3 3 3 2 2 4" xfId="20808" xr:uid="{4688B23B-9651-4503-A69D-114C6A6364A3}"/>
    <cellStyle name="Normal 2 4 3 3 3 2 3" xfId="5107" xr:uid="{00000000-0005-0000-0000-0000FD0F0000}"/>
    <cellStyle name="Normal 2 4 3 3 3 2 3 2" xfId="14433" xr:uid="{ABCEF0E2-A9D0-45E2-857E-E84AC6D76D42}"/>
    <cellStyle name="Normal 2 4 3 3 3 2 3 3" xfId="22880" xr:uid="{E558EA42-4103-4099-8D66-52DE0FEE7DE1}"/>
    <cellStyle name="Normal 2 4 3 3 3 2 4" xfId="9446" xr:uid="{7ACDBBC8-943F-41CF-9832-96F56BCB3985}"/>
    <cellStyle name="Normal 2 4 3 3 3 2 5" xfId="10216" xr:uid="{11513756-3642-4FA5-8ECA-2BA2F80537B9}"/>
    <cellStyle name="Normal 2 4 3 3 3 2 6" xfId="18663" xr:uid="{776444DD-F1AB-4A8C-A037-0F0356E9646D}"/>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B847A9D8-CE78-457C-B86E-ADDE4901B11C}"/>
    <cellStyle name="Normal 2 4 3 3 3 3 2 2 3" xfId="25438" xr:uid="{8241C6BB-6424-4D8E-8A02-64E1756E821E}"/>
    <cellStyle name="Normal 2 4 3 3 3 3 2 3" xfId="12774" xr:uid="{B263AC92-F7FB-4E51-93AB-F8A885E7932A}"/>
    <cellStyle name="Normal 2 4 3 3 3 3 2 4" xfId="21221" xr:uid="{4FAF4838-EB54-4C93-8EAC-A193F283D4D8}"/>
    <cellStyle name="Normal 2 4 3 3 3 3 3" xfId="5520" xr:uid="{00000000-0005-0000-0000-000001100000}"/>
    <cellStyle name="Normal 2 4 3 3 3 3 3 2" xfId="14846" xr:uid="{DD893A07-1F51-40C4-B9DA-ED465247362C}"/>
    <cellStyle name="Normal 2 4 3 3 3 3 3 3" xfId="23293" xr:uid="{C2B81D63-E4FB-4C15-8D9C-EAF5A5F633D9}"/>
    <cellStyle name="Normal 2 4 3 3 3 3 4" xfId="10629" xr:uid="{B4FE80DC-A31A-42C1-BC0C-4C075D3F6E4E}"/>
    <cellStyle name="Normal 2 4 3 3 3 3 5" xfId="19076" xr:uid="{8969FBCF-E5F4-49EA-901E-41E6B8D416CA}"/>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36FD2B77-3C2D-4743-9F4A-29D168BCA94F}"/>
    <cellStyle name="Normal 2 4 3 3 3 4 2 2 3" xfId="25851" xr:uid="{A1C0D394-C973-4ADB-B1BE-A3F00BC723BB}"/>
    <cellStyle name="Normal 2 4 3 3 3 4 2 3" xfId="13187" xr:uid="{AF0BE4A5-D875-4524-B3E9-0E2CC12EF149}"/>
    <cellStyle name="Normal 2 4 3 3 3 4 2 4" xfId="21634" xr:uid="{0B0D37C9-D6CD-42D7-8035-EFE53C2C33B4}"/>
    <cellStyle name="Normal 2 4 3 3 3 4 3" xfId="5933" xr:uid="{00000000-0005-0000-0000-000005100000}"/>
    <cellStyle name="Normal 2 4 3 3 3 4 3 2" xfId="15259" xr:uid="{B71DFA85-C9F0-4B87-A111-304D2D6AB9C1}"/>
    <cellStyle name="Normal 2 4 3 3 3 4 3 3" xfId="23706" xr:uid="{ED58A1AE-2D1E-4243-9F1A-B1E77A40E4ED}"/>
    <cellStyle name="Normal 2 4 3 3 3 4 4" xfId="11042" xr:uid="{5CDAA396-789A-45F7-A9E0-DCDB8B2397FE}"/>
    <cellStyle name="Normal 2 4 3 3 3 4 5" xfId="19489" xr:uid="{788FD4CF-36AC-4477-9F70-D6F15F861E2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C7053BC4-C7B6-4FF6-8B11-3BE32B993E90}"/>
    <cellStyle name="Normal 2 4 3 3 3 5 2 2 3" xfId="26264" xr:uid="{5E96AEF0-DD82-4443-84B0-94622CA87269}"/>
    <cellStyle name="Normal 2 4 3 3 3 5 2 3" xfId="13600" xr:uid="{31720006-8AC0-44E4-A497-CD2530DE6886}"/>
    <cellStyle name="Normal 2 4 3 3 3 5 2 4" xfId="22047" xr:uid="{600A4A09-299A-40A9-92B7-2FB69E8B6B27}"/>
    <cellStyle name="Normal 2 4 3 3 3 5 3" xfId="6346" xr:uid="{00000000-0005-0000-0000-000009100000}"/>
    <cellStyle name="Normal 2 4 3 3 3 5 3 2" xfId="15672" xr:uid="{D693BA89-5B43-48CD-B000-CD92D2AE1D0D}"/>
    <cellStyle name="Normal 2 4 3 3 3 5 3 3" xfId="24119" xr:uid="{D00B0560-2212-42FA-89C6-853EEB8267C6}"/>
    <cellStyle name="Normal 2 4 3 3 3 5 4" xfId="11455" xr:uid="{B9430FF2-91C7-4B03-8F37-E4C94D92DCA3}"/>
    <cellStyle name="Normal 2 4 3 3 3 5 5" xfId="19902" xr:uid="{B1840576-A63F-41BE-894B-FF046D12FD71}"/>
    <cellStyle name="Normal 2 4 3 3 3 6" xfId="2476" xr:uid="{00000000-0005-0000-0000-00000A100000}"/>
    <cellStyle name="Normal 2 4 3 3 3 6 2" xfId="6759" xr:uid="{00000000-0005-0000-0000-00000B100000}"/>
    <cellStyle name="Normal 2 4 3 3 3 6 2 2" xfId="16085" xr:uid="{4A12A2DC-D98A-48E2-B474-9BB6FF227894}"/>
    <cellStyle name="Normal 2 4 3 3 3 6 2 3" xfId="24532" xr:uid="{2EB27C10-ADB5-41FB-9DB0-E4C9E56A702B}"/>
    <cellStyle name="Normal 2 4 3 3 3 6 3" xfId="11868" xr:uid="{CA295F90-EE18-40B6-96BF-13E633B62424}"/>
    <cellStyle name="Normal 2 4 3 3 3 6 4" xfId="20315" xr:uid="{775B2842-9A77-427C-915D-62AA1CACA075}"/>
    <cellStyle name="Normal 2 4 3 3 3 7" xfId="4693" xr:uid="{00000000-0005-0000-0000-00000C100000}"/>
    <cellStyle name="Normal 2 4 3 3 3 7 2" xfId="14019" xr:uid="{4932F826-672B-40FB-BB14-623EC0953DC5}"/>
    <cellStyle name="Normal 2 4 3 3 3 7 3" xfId="22466" xr:uid="{818BC9EC-D29A-49DF-8743-B3AB13428BCC}"/>
    <cellStyle name="Normal 2 4 3 3 3 8" xfId="9021" xr:uid="{4EC0F035-DC07-4262-9C58-7142AC357944}"/>
    <cellStyle name="Normal 2 4 3 3 3 9" xfId="9802" xr:uid="{D3C9E090-1330-49EF-9C97-B4E439952281}"/>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51893A78-D2B0-4357-9630-9E524343E6BB}"/>
    <cellStyle name="Normal 2 4 3 3 4 2 2 3" xfId="25022" xr:uid="{4E6D434A-B267-43E3-B213-A978EB1DA3ED}"/>
    <cellStyle name="Normal 2 4 3 3 4 2 3" xfId="12358" xr:uid="{BE194EB0-45F6-4054-A888-DB8471CF33C7}"/>
    <cellStyle name="Normal 2 4 3 3 4 2 4" xfId="20805" xr:uid="{9CA81349-08B1-4115-BC14-29C5E59F3C15}"/>
    <cellStyle name="Normal 2 4 3 3 4 3" xfId="5104" xr:uid="{00000000-0005-0000-0000-000010100000}"/>
    <cellStyle name="Normal 2 4 3 3 4 3 2" xfId="14430" xr:uid="{59DA49BB-98E9-40F5-93EF-B9643C46A16B}"/>
    <cellStyle name="Normal 2 4 3 3 4 3 3" xfId="22877" xr:uid="{89988B19-9F86-48E1-ABDF-216002D7D1B0}"/>
    <cellStyle name="Normal 2 4 3 3 4 4" xfId="9239" xr:uid="{3DCBA9AF-C63D-4CA9-81B6-AC7CB7B67292}"/>
    <cellStyle name="Normal 2 4 3 3 4 5" xfId="10213" xr:uid="{5C125971-E34A-4C1E-86F8-709BA6F7172A}"/>
    <cellStyle name="Normal 2 4 3 3 4 6" xfId="18660" xr:uid="{9D00C0F5-C9C4-4611-A61E-64FF869D88F5}"/>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13E192A2-378D-48A8-9805-9AB2A9E390ED}"/>
    <cellStyle name="Normal 2 4 3 3 5 2 2 3" xfId="25435" xr:uid="{7CAD0453-1A40-46A4-9AF7-B38A75197460}"/>
    <cellStyle name="Normal 2 4 3 3 5 2 3" xfId="12771" xr:uid="{CAD26CE9-528B-4589-AF94-AC7068C99090}"/>
    <cellStyle name="Normal 2 4 3 3 5 2 4" xfId="21218" xr:uid="{98DC4AFE-4C9C-45CF-87D0-3D7263305EED}"/>
    <cellStyle name="Normal 2 4 3 3 5 3" xfId="5517" xr:uid="{00000000-0005-0000-0000-000014100000}"/>
    <cellStyle name="Normal 2 4 3 3 5 3 2" xfId="14843" xr:uid="{F55D160D-DFCE-4730-A303-D3AC8777534A}"/>
    <cellStyle name="Normal 2 4 3 3 5 3 3" xfId="23290" xr:uid="{828FF512-57FA-4387-985D-FC753CDB7D6E}"/>
    <cellStyle name="Normal 2 4 3 3 5 4" xfId="10626" xr:uid="{E4204159-D0D3-4F8D-8836-FC98121F0166}"/>
    <cellStyle name="Normal 2 4 3 3 5 5" xfId="19073" xr:uid="{64E4727E-BFA9-4BAC-9865-0D6C0C2F08D6}"/>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36300F27-A719-4631-9B57-B472A3526D65}"/>
    <cellStyle name="Normal 2 4 3 3 6 2 2 3" xfId="25848" xr:uid="{B90FE117-061F-4C21-B59B-AF2625435BB1}"/>
    <cellStyle name="Normal 2 4 3 3 6 2 3" xfId="13184" xr:uid="{2E64FB44-F153-4553-A16C-5B1B0326844F}"/>
    <cellStyle name="Normal 2 4 3 3 6 2 4" xfId="21631" xr:uid="{5AB622E6-E0FE-471B-A9E7-F4DCD4BC06C7}"/>
    <cellStyle name="Normal 2 4 3 3 6 3" xfId="5930" xr:uid="{00000000-0005-0000-0000-000018100000}"/>
    <cellStyle name="Normal 2 4 3 3 6 3 2" xfId="15256" xr:uid="{974395D3-ED92-4C03-AE1A-73FF8BDF622A}"/>
    <cellStyle name="Normal 2 4 3 3 6 3 3" xfId="23703" xr:uid="{274E563C-90F9-4338-99AE-6499E98D1C5A}"/>
    <cellStyle name="Normal 2 4 3 3 6 4" xfId="11039" xr:uid="{BF4160B8-9C07-4DB8-855C-3F69C31AD1F4}"/>
    <cellStyle name="Normal 2 4 3 3 6 5" xfId="19486" xr:uid="{2C6914F0-3647-4BF1-A1B1-6538B7D0ADA7}"/>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63793981-86EF-4BF9-B7E3-F9F96A3342EC}"/>
    <cellStyle name="Normal 2 4 3 3 7 2 2 3" xfId="26261" xr:uid="{81F937B0-8142-4BBD-A1F4-386FDCAC3539}"/>
    <cellStyle name="Normal 2 4 3 3 7 2 3" xfId="13597" xr:uid="{D4FBDDBD-6649-4230-93A1-223B8FB0BC40}"/>
    <cellStyle name="Normal 2 4 3 3 7 2 4" xfId="22044" xr:uid="{C7F5A973-CCCB-4B20-8A7C-58A0C3E6F8BA}"/>
    <cellStyle name="Normal 2 4 3 3 7 3" xfId="6343" xr:uid="{00000000-0005-0000-0000-00001C100000}"/>
    <cellStyle name="Normal 2 4 3 3 7 3 2" xfId="15669" xr:uid="{C321BC9C-089D-433B-8808-5B793C5DD58D}"/>
    <cellStyle name="Normal 2 4 3 3 7 3 3" xfId="24116" xr:uid="{E0F63C52-F2CC-4414-AB04-8163CA57A5BB}"/>
    <cellStyle name="Normal 2 4 3 3 7 4" xfId="11452" xr:uid="{A9CFB6B6-2070-4B5E-9295-082F176F1CC7}"/>
    <cellStyle name="Normal 2 4 3 3 7 5" xfId="19899" xr:uid="{2E315FF8-246E-4E6E-B33C-52B80836BA8C}"/>
    <cellStyle name="Normal 2 4 3 3 8" xfId="2473" xr:uid="{00000000-0005-0000-0000-00001D100000}"/>
    <cellStyle name="Normal 2 4 3 3 8 2" xfId="6756" xr:uid="{00000000-0005-0000-0000-00001E100000}"/>
    <cellStyle name="Normal 2 4 3 3 8 2 2" xfId="16082" xr:uid="{8A356475-7EC2-40C5-8E6C-B4042C86A68C}"/>
    <cellStyle name="Normal 2 4 3 3 8 2 3" xfId="24529" xr:uid="{BC2AE0C5-32B1-4086-8CFE-080532B1C5CD}"/>
    <cellStyle name="Normal 2 4 3 3 8 3" xfId="11865" xr:uid="{EE49B217-7771-4119-8A7F-436592B2604B}"/>
    <cellStyle name="Normal 2 4 3 3 8 4" xfId="20312" xr:uid="{DF8BC1B7-A6A2-47A0-ADD1-0F2B4E0D86BE}"/>
    <cellStyle name="Normal 2 4 3 3 9" xfId="4690" xr:uid="{00000000-0005-0000-0000-00001F100000}"/>
    <cellStyle name="Normal 2 4 3 3 9 2" xfId="14016" xr:uid="{8C9584DE-7716-4499-BC98-A43F44464999}"/>
    <cellStyle name="Normal 2 4 3 3 9 3" xfId="22463" xr:uid="{10C0EA06-F476-474C-8E3C-8D71B01FA5FF}"/>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1CD1ECE6-93E9-496D-99F3-12313AD665A8}"/>
    <cellStyle name="Normal 2 4 3 4 2 2 3" xfId="25021" xr:uid="{52E4E189-15A0-442B-8992-E63FFDCE409B}"/>
    <cellStyle name="Normal 2 4 3 4 2 3" xfId="12357" xr:uid="{3CF5713C-3ABB-492C-96EA-178F3F70914A}"/>
    <cellStyle name="Normal 2 4 3 4 2 4" xfId="20804" xr:uid="{46EEE12B-5F25-4E13-8D4F-12A12A2A73A9}"/>
    <cellStyle name="Normal 2 4 3 4 3" xfId="5103" xr:uid="{00000000-0005-0000-0000-000023100000}"/>
    <cellStyle name="Normal 2 4 3 4 3 2" xfId="14429" xr:uid="{B57AC333-BE3E-4A82-88D3-089BFB080347}"/>
    <cellStyle name="Normal 2 4 3 4 3 3" xfId="22876" xr:uid="{DCC36716-B6D1-4378-9ECC-4204DAC19272}"/>
    <cellStyle name="Normal 2 4 3 4 4" xfId="9605" xr:uid="{31B075F0-6828-4EC6-AC77-4B4B0626A722}"/>
    <cellStyle name="Normal 2 4 3 4 5" xfId="10212" xr:uid="{A92AEDFB-73FE-47F2-B727-3C052D0F27D3}"/>
    <cellStyle name="Normal 2 4 3 4 6" xfId="18659" xr:uid="{98FD8A4D-36BC-42A4-9366-3ED3E8445095}"/>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B627ABD0-A838-4839-9152-D9B30DBCA28D}"/>
    <cellStyle name="Normal 2 4 3 5 2 2 3" xfId="25434" xr:uid="{8BDA99B3-5695-4B50-95DE-600EDA948432}"/>
    <cellStyle name="Normal 2 4 3 5 2 3" xfId="12770" xr:uid="{F3097A28-3747-47B6-ADCE-91F24F728B44}"/>
    <cellStyle name="Normal 2 4 3 5 2 4" xfId="21217" xr:uid="{D65F34AF-56E1-4910-A21B-85C392B117FD}"/>
    <cellStyle name="Normal 2 4 3 5 3" xfId="5516" xr:uid="{00000000-0005-0000-0000-000027100000}"/>
    <cellStyle name="Normal 2 4 3 5 3 2" xfId="14842" xr:uid="{062F3CB6-08F0-4108-85EE-2C8F5BCC15A0}"/>
    <cellStyle name="Normal 2 4 3 5 3 3" xfId="23289" xr:uid="{4E760E3C-7623-4777-A034-EC0ECFC061F7}"/>
    <cellStyle name="Normal 2 4 3 5 4" xfId="10625" xr:uid="{F871FEC1-0940-4EC5-8425-758379B72D40}"/>
    <cellStyle name="Normal 2 4 3 5 5" xfId="19072" xr:uid="{9A1C91BE-07A2-4F4C-A5FF-C73B9201AEA3}"/>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A54E191D-B022-4F53-A9A7-17436E23D8DE}"/>
    <cellStyle name="Normal 2 4 3 6 2 2 3" xfId="25847" xr:uid="{DEBE506B-98E0-428E-A1E9-498899716F8F}"/>
    <cellStyle name="Normal 2 4 3 6 2 3" xfId="13183" xr:uid="{C7D77E68-43E7-4735-A588-77F0CA46BC97}"/>
    <cellStyle name="Normal 2 4 3 6 2 4" xfId="21630" xr:uid="{FC9F2C79-AA44-4E36-BE25-8B9194E1BFAA}"/>
    <cellStyle name="Normal 2 4 3 6 3" xfId="5929" xr:uid="{00000000-0005-0000-0000-00002B100000}"/>
    <cellStyle name="Normal 2 4 3 6 3 2" xfId="15255" xr:uid="{2B91CCB8-8F47-4FBD-B60A-8F42DAD370DD}"/>
    <cellStyle name="Normal 2 4 3 6 3 3" xfId="23702" xr:uid="{608F5517-813C-4766-955A-C416F23F0782}"/>
    <cellStyle name="Normal 2 4 3 6 4" xfId="11038" xr:uid="{733E80E3-00F0-4A73-969D-46832F6481C6}"/>
    <cellStyle name="Normal 2 4 3 6 5" xfId="19485" xr:uid="{9DACF01D-7E7F-4DEC-BAAA-093C874202C4}"/>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C1084FA9-420A-4266-BBF3-BE47A413B3AF}"/>
    <cellStyle name="Normal 2 4 3 7 2 2 3" xfId="26260" xr:uid="{A3403205-5F63-44A7-BCB2-4E9D9845938B}"/>
    <cellStyle name="Normal 2 4 3 7 2 3" xfId="13596" xr:uid="{4B4385D1-3F6F-4D4F-96AD-790F196743FC}"/>
    <cellStyle name="Normal 2 4 3 7 2 4" xfId="22043" xr:uid="{26B70360-60AC-4647-829B-575743B83C08}"/>
    <cellStyle name="Normal 2 4 3 7 3" xfId="6342" xr:uid="{00000000-0005-0000-0000-00002F100000}"/>
    <cellStyle name="Normal 2 4 3 7 3 2" xfId="15668" xr:uid="{8E429C4C-090C-46E3-ACC9-C5C24F2BAD9C}"/>
    <cellStyle name="Normal 2 4 3 7 3 3" xfId="24115" xr:uid="{FBFAACAF-653E-43F0-983A-5BC2B78D2CC5}"/>
    <cellStyle name="Normal 2 4 3 7 4" xfId="11451" xr:uid="{14699207-40EC-41E8-AF57-2DF34436AB59}"/>
    <cellStyle name="Normal 2 4 3 7 5" xfId="19898" xr:uid="{5088060E-AE55-42E4-A601-C642B0BEF9D2}"/>
    <cellStyle name="Normal 2 4 3 8" xfId="2472" xr:uid="{00000000-0005-0000-0000-000030100000}"/>
    <cellStyle name="Normal 2 4 3 8 2" xfId="6755" xr:uid="{00000000-0005-0000-0000-000031100000}"/>
    <cellStyle name="Normal 2 4 3 8 2 2" xfId="16081" xr:uid="{E012E0C9-DE55-46F2-880A-87502BAA6542}"/>
    <cellStyle name="Normal 2 4 3 8 2 3" xfId="24528" xr:uid="{D8ED9120-DA69-4106-BD84-2F221781CA1C}"/>
    <cellStyle name="Normal 2 4 3 8 3" xfId="11864" xr:uid="{0B09646D-03E8-4BF1-8085-03CC0C3C43E0}"/>
    <cellStyle name="Normal 2 4 3 8 4" xfId="20311" xr:uid="{2E40E3BE-6E9C-491D-9F71-1089BFD6DF72}"/>
    <cellStyle name="Normal 2 4 3 9" xfId="4689" xr:uid="{00000000-0005-0000-0000-000032100000}"/>
    <cellStyle name="Normal 2 4 3 9 2" xfId="14015" xr:uid="{A2E08C5C-A38D-46E6-9095-B49282E20792}"/>
    <cellStyle name="Normal 2 4 3 9 3" xfId="22462" xr:uid="{C5D739CE-7E2C-4F1D-ACD0-E9C06CDBDA21}"/>
    <cellStyle name="Normal 2 4 4" xfId="302" xr:uid="{00000000-0005-0000-0000-000033100000}"/>
    <cellStyle name="Normal 2 4 5" xfId="303" xr:uid="{00000000-0005-0000-0000-000034100000}"/>
    <cellStyle name="Normal 2 4 5 10" xfId="4694" xr:uid="{00000000-0005-0000-0000-000035100000}"/>
    <cellStyle name="Normal 2 4 5 10 2" xfId="14020" xr:uid="{2EF3B755-5A5B-47C6-B349-B8253098948A}"/>
    <cellStyle name="Normal 2 4 5 10 3" xfId="22467" xr:uid="{C6C39238-0FB0-4138-8597-6F3750A94BCF}"/>
    <cellStyle name="Normal 2 4 5 11" xfId="8780" xr:uid="{7650B30D-5C17-47F0-B17B-A5E27258C29E}"/>
    <cellStyle name="Normal 2 4 5 12" xfId="9803" xr:uid="{E410F6E6-EC0F-494E-92C0-875CA3854B35}"/>
    <cellStyle name="Normal 2 4 5 13" xfId="18250" xr:uid="{4917CF0E-6F1F-44A1-917B-39A56F217B2C}"/>
    <cellStyle name="Normal 2 4 5 2" xfId="304" xr:uid="{00000000-0005-0000-0000-000036100000}"/>
    <cellStyle name="Normal 2 4 5 2 10" xfId="8815" xr:uid="{40A5EFE5-2EC9-4F25-B9EC-CAF9321E00F7}"/>
    <cellStyle name="Normal 2 4 5 2 11" xfId="9804" xr:uid="{66A83793-469A-4995-8085-FF3A08F139CD}"/>
    <cellStyle name="Normal 2 4 5 2 12" xfId="18251" xr:uid="{1FC2F62E-2397-4A30-BFC1-06E43883131A}"/>
    <cellStyle name="Normal 2 4 5 2 2" xfId="305" xr:uid="{00000000-0005-0000-0000-000037100000}"/>
    <cellStyle name="Normal 2 4 5 2 2 10" xfId="9805" xr:uid="{684A252C-8829-462E-A707-2C3363605E0F}"/>
    <cellStyle name="Normal 2 4 5 2 2 11" xfId="18252" xr:uid="{7CA34A46-0D40-48E0-A7BC-529AC627A8D1}"/>
    <cellStyle name="Normal 2 4 5 2 2 2" xfId="306" xr:uid="{00000000-0005-0000-0000-000038100000}"/>
    <cellStyle name="Normal 2 4 5 2 2 2 10" xfId="18253" xr:uid="{CD414AEF-DBE3-481D-8A14-4DE15B1CDDCC}"/>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D45FCEFB-486D-4D24-8B8D-DE3510EE3217}"/>
    <cellStyle name="Normal 2 4 5 2 2 2 2 2 2 3" xfId="25029" xr:uid="{74C59F92-9CDC-48B7-85C3-9323A20655C3}"/>
    <cellStyle name="Normal 2 4 5 2 2 2 2 2 3" xfId="12365" xr:uid="{1E3969B4-F732-4102-88E7-BAD501B92FE3}"/>
    <cellStyle name="Normal 2 4 5 2 2 2 2 2 4" xfId="20812" xr:uid="{74DF2DF5-7AA3-4B3F-AEA2-18A3A878E273}"/>
    <cellStyle name="Normal 2 4 5 2 2 2 2 3" xfId="5111" xr:uid="{00000000-0005-0000-0000-00003C100000}"/>
    <cellStyle name="Normal 2 4 5 2 2 2 2 3 2" xfId="14437" xr:uid="{93DF338F-59D0-4758-AE98-B7A16309FDC3}"/>
    <cellStyle name="Normal 2 4 5 2 2 2 2 3 3" xfId="22884" xr:uid="{286451D5-2CC6-4512-B166-2B85494ACC0C}"/>
    <cellStyle name="Normal 2 4 5 2 2 2 2 4" xfId="9550" xr:uid="{8A7671EC-AB7E-4F51-9B1B-FE1F0FDC42A9}"/>
    <cellStyle name="Normal 2 4 5 2 2 2 2 5" xfId="10220" xr:uid="{5DC62B23-F936-42F5-9CEE-6EE272488FFF}"/>
    <cellStyle name="Normal 2 4 5 2 2 2 2 6" xfId="18667" xr:uid="{55BFC020-BAF9-4DB5-86F5-F38463FA7F8A}"/>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52704A44-59B8-49D2-80A5-E502479EDCBC}"/>
    <cellStyle name="Normal 2 4 5 2 2 2 3 2 2 3" xfId="25442" xr:uid="{AB163984-C9CA-487C-B6B1-57AC03AEADF1}"/>
    <cellStyle name="Normal 2 4 5 2 2 2 3 2 3" xfId="12778" xr:uid="{6360285A-A565-4D99-8CE5-02737BCEC186}"/>
    <cellStyle name="Normal 2 4 5 2 2 2 3 2 4" xfId="21225" xr:uid="{FDF3C6E9-9016-4977-BE3E-7FDA9A498D7F}"/>
    <cellStyle name="Normal 2 4 5 2 2 2 3 3" xfId="5524" xr:uid="{00000000-0005-0000-0000-000040100000}"/>
    <cellStyle name="Normal 2 4 5 2 2 2 3 3 2" xfId="14850" xr:uid="{BAC5D48C-7524-45BD-9B3D-F2E338024536}"/>
    <cellStyle name="Normal 2 4 5 2 2 2 3 3 3" xfId="23297" xr:uid="{E1C833B0-9510-4092-8C25-BF6A705EE9C8}"/>
    <cellStyle name="Normal 2 4 5 2 2 2 3 4" xfId="10633" xr:uid="{890C47D0-5C9F-4496-ADA6-6076E1B5D16F}"/>
    <cellStyle name="Normal 2 4 5 2 2 2 3 5" xfId="19080" xr:uid="{41D2A06B-62B8-4CC3-B2AB-4CABA43D524D}"/>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9DFEAB73-41DC-49EE-ACF4-015DA5800B54}"/>
    <cellStyle name="Normal 2 4 5 2 2 2 4 2 2 3" xfId="25855" xr:uid="{EA07DCA7-EBB7-47C3-B083-2022D6B5E4D6}"/>
    <cellStyle name="Normal 2 4 5 2 2 2 4 2 3" xfId="13191" xr:uid="{0111560F-912F-4DA7-BCD4-243AB20A2F9E}"/>
    <cellStyle name="Normal 2 4 5 2 2 2 4 2 4" xfId="21638" xr:uid="{02A63F40-CFFF-403F-813A-2910E28FD5A2}"/>
    <cellStyle name="Normal 2 4 5 2 2 2 4 3" xfId="5937" xr:uid="{00000000-0005-0000-0000-000044100000}"/>
    <cellStyle name="Normal 2 4 5 2 2 2 4 3 2" xfId="15263" xr:uid="{52C52762-AA75-4622-9AD8-FB5F4C278D3C}"/>
    <cellStyle name="Normal 2 4 5 2 2 2 4 3 3" xfId="23710" xr:uid="{58DB7B8D-77E8-4FE2-B306-13716B0BBC58}"/>
    <cellStyle name="Normal 2 4 5 2 2 2 4 4" xfId="11046" xr:uid="{1C929640-6944-4337-8361-8185836334CD}"/>
    <cellStyle name="Normal 2 4 5 2 2 2 4 5" xfId="19493" xr:uid="{9AA84FA5-A655-4C25-8192-3AE4C5C7CA3E}"/>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FB677F21-97FA-4F5E-B64C-C2FD76EA2F5E}"/>
    <cellStyle name="Normal 2 4 5 2 2 2 5 2 2 3" xfId="26268" xr:uid="{3925FE89-2036-4688-A4E2-C6F6E15E8890}"/>
    <cellStyle name="Normal 2 4 5 2 2 2 5 2 3" xfId="13604" xr:uid="{F518B49A-E4DF-425C-850F-253B0CEC328F}"/>
    <cellStyle name="Normal 2 4 5 2 2 2 5 2 4" xfId="22051" xr:uid="{F8A2C3E6-B535-46CD-A073-DAE4435FF974}"/>
    <cellStyle name="Normal 2 4 5 2 2 2 5 3" xfId="6350" xr:uid="{00000000-0005-0000-0000-000048100000}"/>
    <cellStyle name="Normal 2 4 5 2 2 2 5 3 2" xfId="15676" xr:uid="{0E04E95A-05D2-411A-B137-622C0F87C2F6}"/>
    <cellStyle name="Normal 2 4 5 2 2 2 5 3 3" xfId="24123" xr:uid="{7169C908-14D2-4F8A-A6FE-FD4D1C77B3FF}"/>
    <cellStyle name="Normal 2 4 5 2 2 2 5 4" xfId="11459" xr:uid="{AB89B1FF-FB79-4E0B-82A4-C41A5BE440B9}"/>
    <cellStyle name="Normal 2 4 5 2 2 2 5 5" xfId="19906" xr:uid="{66B9D04C-43DE-4902-8C80-DEB989DEEE41}"/>
    <cellStyle name="Normal 2 4 5 2 2 2 6" xfId="2480" xr:uid="{00000000-0005-0000-0000-000049100000}"/>
    <cellStyle name="Normal 2 4 5 2 2 2 6 2" xfId="6763" xr:uid="{00000000-0005-0000-0000-00004A100000}"/>
    <cellStyle name="Normal 2 4 5 2 2 2 6 2 2" xfId="16089" xr:uid="{80D06820-E732-47B1-AC1A-3DA973D92111}"/>
    <cellStyle name="Normal 2 4 5 2 2 2 6 2 3" xfId="24536" xr:uid="{63FADC40-EA46-4A03-851B-CC5A350D7E70}"/>
    <cellStyle name="Normal 2 4 5 2 2 2 6 3" xfId="11872" xr:uid="{3D33A112-FE37-421C-9D32-0AAFA995AA18}"/>
    <cellStyle name="Normal 2 4 5 2 2 2 6 4" xfId="20319" xr:uid="{5EA4F44B-3015-4CB5-966A-4A292D04D7D8}"/>
    <cellStyle name="Normal 2 4 5 2 2 2 7" xfId="4697" xr:uid="{00000000-0005-0000-0000-00004B100000}"/>
    <cellStyle name="Normal 2 4 5 2 2 2 7 2" xfId="14023" xr:uid="{4E6A6AA4-1BE2-46C8-B187-F9319D00A620}"/>
    <cellStyle name="Normal 2 4 5 2 2 2 7 3" xfId="22470" xr:uid="{838DA773-ECB9-4E2D-ACF6-A29793130713}"/>
    <cellStyle name="Normal 2 4 5 2 2 2 8" xfId="9125" xr:uid="{AE6B93A1-5C0B-49F1-AF15-6FC3FAFFE3B2}"/>
    <cellStyle name="Normal 2 4 5 2 2 2 9" xfId="9806" xr:uid="{C0550501-1319-42AE-A8DF-663C101269DF}"/>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A00B6AC1-338D-4337-97EB-466CBFDF825A}"/>
    <cellStyle name="Normal 2 4 5 2 2 3 2 2 3" xfId="25028" xr:uid="{C844E4BC-1D83-4B8A-B10F-584B6303F4D7}"/>
    <cellStyle name="Normal 2 4 5 2 2 3 2 3" xfId="12364" xr:uid="{7AB94DF1-8E10-446D-A74A-4B4D54101D2A}"/>
    <cellStyle name="Normal 2 4 5 2 2 3 2 4" xfId="20811" xr:uid="{140EDBB5-82AA-4BD7-824F-59664A26B551}"/>
    <cellStyle name="Normal 2 4 5 2 2 3 3" xfId="5110" xr:uid="{00000000-0005-0000-0000-00004F100000}"/>
    <cellStyle name="Normal 2 4 5 2 2 3 3 2" xfId="14436" xr:uid="{157B8DE4-B4BB-4E44-8195-284585D938F5}"/>
    <cellStyle name="Normal 2 4 5 2 2 3 3 3" xfId="22883" xr:uid="{FE8A7D59-94BB-4562-8E05-F565CB4434DE}"/>
    <cellStyle name="Normal 2 4 5 2 2 3 4" xfId="9343" xr:uid="{FC4CD386-4202-45E2-8021-2A85CACF4E8B}"/>
    <cellStyle name="Normal 2 4 5 2 2 3 5" xfId="10219" xr:uid="{B3456B30-F930-4931-90AC-5500E33B3687}"/>
    <cellStyle name="Normal 2 4 5 2 2 3 6" xfId="18666" xr:uid="{0AA5F5D9-0DAA-4C86-9F85-AE3A78AA9FE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6193EF33-69E2-4FCB-ADAC-9CC36DBFC728}"/>
    <cellStyle name="Normal 2 4 5 2 2 4 2 2 3" xfId="25441" xr:uid="{0C9BC853-5BB0-45F6-97B1-6DCD029EE0D3}"/>
    <cellStyle name="Normal 2 4 5 2 2 4 2 3" xfId="12777" xr:uid="{0F44E2F4-89FE-4556-B9EF-0E361E12426B}"/>
    <cellStyle name="Normal 2 4 5 2 2 4 2 4" xfId="21224" xr:uid="{E59821A2-F458-4544-AFA8-1FDC477D1212}"/>
    <cellStyle name="Normal 2 4 5 2 2 4 3" xfId="5523" xr:uid="{00000000-0005-0000-0000-000053100000}"/>
    <cellStyle name="Normal 2 4 5 2 2 4 3 2" xfId="14849" xr:uid="{E85D0865-F69D-4611-AFF5-15C4B0A87A5D}"/>
    <cellStyle name="Normal 2 4 5 2 2 4 3 3" xfId="23296" xr:uid="{9D890A12-1C9B-4DA2-B208-6EB0C6EE0A41}"/>
    <cellStyle name="Normal 2 4 5 2 2 4 4" xfId="10632" xr:uid="{E50A4235-72A5-4DE7-B723-D9D059105DCE}"/>
    <cellStyle name="Normal 2 4 5 2 2 4 5" xfId="19079" xr:uid="{C625AD5F-0BE0-42AA-B68E-0B54F31505B7}"/>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656FB193-BB5B-4B76-8BE0-85038A2D1907}"/>
    <cellStyle name="Normal 2 4 5 2 2 5 2 2 3" xfId="25854" xr:uid="{38CAE52A-FAFA-49B6-AF27-A568C1BE2EF5}"/>
    <cellStyle name="Normal 2 4 5 2 2 5 2 3" xfId="13190" xr:uid="{A789E7D0-7703-458D-BCE2-C06E47AF9ADB}"/>
    <cellStyle name="Normal 2 4 5 2 2 5 2 4" xfId="21637" xr:uid="{F1423AD2-0ACC-4445-98A5-FBFB36F61877}"/>
    <cellStyle name="Normal 2 4 5 2 2 5 3" xfId="5936" xr:uid="{00000000-0005-0000-0000-000057100000}"/>
    <cellStyle name="Normal 2 4 5 2 2 5 3 2" xfId="15262" xr:uid="{8A62BCDC-6218-47E6-AEF1-0F56CD525D9B}"/>
    <cellStyle name="Normal 2 4 5 2 2 5 3 3" xfId="23709" xr:uid="{DE459F89-0994-40E7-ADFB-E891BBBAFEA8}"/>
    <cellStyle name="Normal 2 4 5 2 2 5 4" xfId="11045" xr:uid="{4577A7D9-8E0C-418D-8BF0-882E43881D07}"/>
    <cellStyle name="Normal 2 4 5 2 2 5 5" xfId="19492" xr:uid="{A5E667B7-8756-477B-8F6F-B3C1F9CD4BFD}"/>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22C67652-E80B-4E92-A9A6-78CDF3F901D6}"/>
    <cellStyle name="Normal 2 4 5 2 2 6 2 2 3" xfId="26267" xr:uid="{1026D86C-1564-40F7-855B-6E297D0F86BD}"/>
    <cellStyle name="Normal 2 4 5 2 2 6 2 3" xfId="13603" xr:uid="{076F36FA-5B61-46FB-A08D-485044F27B5B}"/>
    <cellStyle name="Normal 2 4 5 2 2 6 2 4" xfId="22050" xr:uid="{5AEC8457-E260-4815-99B6-1F8323C2BF67}"/>
    <cellStyle name="Normal 2 4 5 2 2 6 3" xfId="6349" xr:uid="{00000000-0005-0000-0000-00005B100000}"/>
    <cellStyle name="Normal 2 4 5 2 2 6 3 2" xfId="15675" xr:uid="{5C0FFE4F-F45D-49AE-96C2-FEF44A80BA17}"/>
    <cellStyle name="Normal 2 4 5 2 2 6 3 3" xfId="24122" xr:uid="{89C8A692-04A1-4729-A188-F80B77EDF5B0}"/>
    <cellStyle name="Normal 2 4 5 2 2 6 4" xfId="11458" xr:uid="{14A820AE-439C-457D-85BD-7FAE19F6E3B2}"/>
    <cellStyle name="Normal 2 4 5 2 2 6 5" xfId="19905" xr:uid="{390D28E3-A68E-4A3B-B330-ACF405A05328}"/>
    <cellStyle name="Normal 2 4 5 2 2 7" xfId="2479" xr:uid="{00000000-0005-0000-0000-00005C100000}"/>
    <cellStyle name="Normal 2 4 5 2 2 7 2" xfId="6762" xr:uid="{00000000-0005-0000-0000-00005D100000}"/>
    <cellStyle name="Normal 2 4 5 2 2 7 2 2" xfId="16088" xr:uid="{13DA82F6-4D9D-4AC8-9CFF-2ADDCB745A93}"/>
    <cellStyle name="Normal 2 4 5 2 2 7 2 3" xfId="24535" xr:uid="{B99890E9-E6E7-4450-A2C3-D121DC3E259C}"/>
    <cellStyle name="Normal 2 4 5 2 2 7 3" xfId="11871" xr:uid="{D773A122-C51C-4FC4-B984-50CF51C035D5}"/>
    <cellStyle name="Normal 2 4 5 2 2 7 4" xfId="20318" xr:uid="{B2A468E6-A4F6-415B-BB7F-4840583C384B}"/>
    <cellStyle name="Normal 2 4 5 2 2 8" xfId="4696" xr:uid="{00000000-0005-0000-0000-00005E100000}"/>
    <cellStyle name="Normal 2 4 5 2 2 8 2" xfId="14022" xr:uid="{0BD419C1-1D51-46B4-8660-66D83B26E91D}"/>
    <cellStyle name="Normal 2 4 5 2 2 8 3" xfId="22469" xr:uid="{30BD0D35-9CB8-444D-9DF8-4265A2781B90}"/>
    <cellStyle name="Normal 2 4 5 2 2 9" xfId="8918" xr:uid="{C191AFB9-5B9B-45BF-8589-0BB68E370D0F}"/>
    <cellStyle name="Normal 2 4 5 2 3" xfId="307" xr:uid="{00000000-0005-0000-0000-00005F100000}"/>
    <cellStyle name="Normal 2 4 5 2 3 10" xfId="18254" xr:uid="{60EB7D89-2032-4587-8FF5-8F59C1A3C926}"/>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D2D7DC21-F97A-41BA-9EC4-7742A2A85FD8}"/>
    <cellStyle name="Normal 2 4 5 2 3 2 2 2 3" xfId="25030" xr:uid="{974C67CF-30A1-4C3F-A59C-DCF1868B64C8}"/>
    <cellStyle name="Normal 2 4 5 2 3 2 2 3" xfId="12366" xr:uid="{BA89B4B9-7000-4ED8-A647-17AA5A2A6B91}"/>
    <cellStyle name="Normal 2 4 5 2 3 2 2 4" xfId="20813" xr:uid="{70EC0C70-42A2-4AD7-8410-6762E76120D0}"/>
    <cellStyle name="Normal 2 4 5 2 3 2 3" xfId="5112" xr:uid="{00000000-0005-0000-0000-000063100000}"/>
    <cellStyle name="Normal 2 4 5 2 3 2 3 2" xfId="14438" xr:uid="{763A95F1-1075-4328-B3FD-DC54A2EC2B68}"/>
    <cellStyle name="Normal 2 4 5 2 3 2 3 3" xfId="22885" xr:uid="{EDD9ACA6-4CB0-43D0-9016-0ECAF5AAD6E7}"/>
    <cellStyle name="Normal 2 4 5 2 3 2 4" xfId="9447" xr:uid="{5DAE67B2-15F6-4C7F-9310-B9C816D42F72}"/>
    <cellStyle name="Normal 2 4 5 2 3 2 5" xfId="10221" xr:uid="{AD6151F6-0061-4ACB-868D-9851A0BC97F3}"/>
    <cellStyle name="Normal 2 4 5 2 3 2 6" xfId="18668" xr:uid="{BC1AAA29-9704-47BB-AA49-53A838C9B0AC}"/>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19A83EF1-38C1-47AE-8563-7329E8C72783}"/>
    <cellStyle name="Normal 2 4 5 2 3 3 2 2 3" xfId="25443" xr:uid="{04400F94-A97B-4CA9-84D6-C91B4740CC1C}"/>
    <cellStyle name="Normal 2 4 5 2 3 3 2 3" xfId="12779" xr:uid="{4D2E6CB6-1C60-4CFC-BA8C-AB1820B4B5DE}"/>
    <cellStyle name="Normal 2 4 5 2 3 3 2 4" xfId="21226" xr:uid="{55FF3338-6C6E-4CDC-97EF-05D59CAD0F85}"/>
    <cellStyle name="Normal 2 4 5 2 3 3 3" xfId="5525" xr:uid="{00000000-0005-0000-0000-000067100000}"/>
    <cellStyle name="Normal 2 4 5 2 3 3 3 2" xfId="14851" xr:uid="{579818E1-1FC9-47EB-ADC6-2C92B30399DD}"/>
    <cellStyle name="Normal 2 4 5 2 3 3 3 3" xfId="23298" xr:uid="{FA5F6C95-A262-4841-A606-DE1D93FFE403}"/>
    <cellStyle name="Normal 2 4 5 2 3 3 4" xfId="10634" xr:uid="{8CE9DD2B-7561-4962-8177-4807D1A32AB4}"/>
    <cellStyle name="Normal 2 4 5 2 3 3 5" xfId="19081" xr:uid="{C71E47D9-2182-45F3-BD63-6F6A0917D143}"/>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76B54E6F-39F6-4BF3-9409-8229FB4B0B9D}"/>
    <cellStyle name="Normal 2 4 5 2 3 4 2 2 3" xfId="25856" xr:uid="{CFF749CE-4CBF-431A-8E87-88CB4250ACEC}"/>
    <cellStyle name="Normal 2 4 5 2 3 4 2 3" xfId="13192" xr:uid="{3657D67E-DC7C-454B-9E22-F7D9DAD932B4}"/>
    <cellStyle name="Normal 2 4 5 2 3 4 2 4" xfId="21639" xr:uid="{9111119B-F247-4C32-A92A-31AB5492F9D6}"/>
    <cellStyle name="Normal 2 4 5 2 3 4 3" xfId="5938" xr:uid="{00000000-0005-0000-0000-00006B100000}"/>
    <cellStyle name="Normal 2 4 5 2 3 4 3 2" xfId="15264" xr:uid="{21412DB3-26EE-4BCA-AE86-5FF6B602B8FB}"/>
    <cellStyle name="Normal 2 4 5 2 3 4 3 3" xfId="23711" xr:uid="{34E24F61-46E8-402F-9295-4F4EFBC4F802}"/>
    <cellStyle name="Normal 2 4 5 2 3 4 4" xfId="11047" xr:uid="{E2CC050D-7E09-448B-8563-13E29638885B}"/>
    <cellStyle name="Normal 2 4 5 2 3 4 5" xfId="19494" xr:uid="{3690DB2A-F692-4874-A195-3606B7C69049}"/>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E8B964C1-5CC9-4F80-BCE2-416E425F158E}"/>
    <cellStyle name="Normal 2 4 5 2 3 5 2 2 3" xfId="26269" xr:uid="{692BD697-5261-461C-9DE8-C41EF4A3B49A}"/>
    <cellStyle name="Normal 2 4 5 2 3 5 2 3" xfId="13605" xr:uid="{AEE10CEB-B9C7-4F3A-8F91-7635AAF72821}"/>
    <cellStyle name="Normal 2 4 5 2 3 5 2 4" xfId="22052" xr:uid="{E393842B-D072-4F73-ADFA-EE14B832B3B1}"/>
    <cellStyle name="Normal 2 4 5 2 3 5 3" xfId="6351" xr:uid="{00000000-0005-0000-0000-00006F100000}"/>
    <cellStyle name="Normal 2 4 5 2 3 5 3 2" xfId="15677" xr:uid="{F13D0864-B175-4162-A40C-62CA01AD14FF}"/>
    <cellStyle name="Normal 2 4 5 2 3 5 3 3" xfId="24124" xr:uid="{8F5E8F83-286F-4060-9D4B-2C9786768624}"/>
    <cellStyle name="Normal 2 4 5 2 3 5 4" xfId="11460" xr:uid="{C01D27C5-0D6F-46E8-AAD8-A873FF1A304A}"/>
    <cellStyle name="Normal 2 4 5 2 3 5 5" xfId="19907" xr:uid="{0E83EEA5-7FBA-4244-9869-EAEA167A71AC}"/>
    <cellStyle name="Normal 2 4 5 2 3 6" xfId="2481" xr:uid="{00000000-0005-0000-0000-000070100000}"/>
    <cellStyle name="Normal 2 4 5 2 3 6 2" xfId="6764" xr:uid="{00000000-0005-0000-0000-000071100000}"/>
    <cellStyle name="Normal 2 4 5 2 3 6 2 2" xfId="16090" xr:uid="{12A8A924-23D1-4AC3-BEBF-FCE4DEBE13E5}"/>
    <cellStyle name="Normal 2 4 5 2 3 6 2 3" xfId="24537" xr:uid="{F482CD12-16E8-4BCA-A4C8-6C5AED6B78F7}"/>
    <cellStyle name="Normal 2 4 5 2 3 6 3" xfId="11873" xr:uid="{15B06AFA-AA07-4A25-8B25-08F00932D3F7}"/>
    <cellStyle name="Normal 2 4 5 2 3 6 4" xfId="20320" xr:uid="{5634F67C-0846-4ADB-9096-F8E11A701429}"/>
    <cellStyle name="Normal 2 4 5 2 3 7" xfId="4698" xr:uid="{00000000-0005-0000-0000-000072100000}"/>
    <cellStyle name="Normal 2 4 5 2 3 7 2" xfId="14024" xr:uid="{CC1F180F-BC65-4023-BE79-76F85F126C9C}"/>
    <cellStyle name="Normal 2 4 5 2 3 7 3" xfId="22471" xr:uid="{4E7482DA-0CF1-4B6E-9ADB-ABAFBBCFD16B}"/>
    <cellStyle name="Normal 2 4 5 2 3 8" xfId="9022" xr:uid="{B979F5DF-A88B-437D-B1B4-B92D08856DC7}"/>
    <cellStyle name="Normal 2 4 5 2 3 9" xfId="9807" xr:uid="{F99A4794-1FB9-4C94-A388-D4E9290B29A2}"/>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A834DA1D-9E34-4804-BABA-F7E0FCF95159}"/>
    <cellStyle name="Normal 2 4 5 2 4 2 2 3" xfId="25027" xr:uid="{F0E2DA25-A9C3-4902-B319-077095A09AED}"/>
    <cellStyle name="Normal 2 4 5 2 4 2 3" xfId="12363" xr:uid="{939B453D-94B3-4B57-976E-A3541892E20E}"/>
    <cellStyle name="Normal 2 4 5 2 4 2 4" xfId="20810" xr:uid="{8CE504B5-E266-4B86-8ED3-D863D4901423}"/>
    <cellStyle name="Normal 2 4 5 2 4 3" xfId="5109" xr:uid="{00000000-0005-0000-0000-000076100000}"/>
    <cellStyle name="Normal 2 4 5 2 4 3 2" xfId="14435" xr:uid="{5C5688A2-75AE-4D8C-A4DC-386346AB558C}"/>
    <cellStyle name="Normal 2 4 5 2 4 3 3" xfId="22882" xr:uid="{EF7DEBC8-5CC7-4632-93D1-703758821A5A}"/>
    <cellStyle name="Normal 2 4 5 2 4 4" xfId="9240" xr:uid="{16FBE981-4867-4157-8C0D-9C1339DB5B3F}"/>
    <cellStyle name="Normal 2 4 5 2 4 5" xfId="10218" xr:uid="{D3AF60B8-B840-4B23-B530-13371D1A0E35}"/>
    <cellStyle name="Normal 2 4 5 2 4 6" xfId="18665" xr:uid="{D4CCB353-477B-43FA-9980-58C63BF5F842}"/>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9BA75960-66FB-4E0A-95F3-706DD871A88F}"/>
    <cellStyle name="Normal 2 4 5 2 5 2 2 3" xfId="25440" xr:uid="{AD198EF2-BE2F-4C60-BF2A-1933CCF7DFC3}"/>
    <cellStyle name="Normal 2 4 5 2 5 2 3" xfId="12776" xr:uid="{4474BB76-46D2-4DA0-99B4-78ED858FFBF5}"/>
    <cellStyle name="Normal 2 4 5 2 5 2 4" xfId="21223" xr:uid="{4D64CEFC-C8D0-4179-A519-7F30040253AC}"/>
    <cellStyle name="Normal 2 4 5 2 5 3" xfId="5522" xr:uid="{00000000-0005-0000-0000-00007A100000}"/>
    <cellStyle name="Normal 2 4 5 2 5 3 2" xfId="14848" xr:uid="{D0B85B22-F6B3-4137-884B-0F22FCA1722B}"/>
    <cellStyle name="Normal 2 4 5 2 5 3 3" xfId="23295" xr:uid="{035E9453-2B37-46CC-B26E-24D3E480E6E6}"/>
    <cellStyle name="Normal 2 4 5 2 5 4" xfId="10631" xr:uid="{2568A266-0175-4C1A-8F0F-B297103B9DF3}"/>
    <cellStyle name="Normal 2 4 5 2 5 5" xfId="19078" xr:uid="{C38CFC85-5B46-47F0-BF5E-4E89254AB1B9}"/>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9772B141-4F87-4C50-B27A-36FC3EB7223D}"/>
    <cellStyle name="Normal 2 4 5 2 6 2 2 3" xfId="25853" xr:uid="{0D8FB5B8-FFCA-43C7-8A31-3D8DECE60723}"/>
    <cellStyle name="Normal 2 4 5 2 6 2 3" xfId="13189" xr:uid="{B2FBC221-531E-40FC-9C08-C1A82EFEABA0}"/>
    <cellStyle name="Normal 2 4 5 2 6 2 4" xfId="21636" xr:uid="{BD4B9AC2-8360-4F96-BB99-B3EEC61F249B}"/>
    <cellStyle name="Normal 2 4 5 2 6 3" xfId="5935" xr:uid="{00000000-0005-0000-0000-00007E100000}"/>
    <cellStyle name="Normal 2 4 5 2 6 3 2" xfId="15261" xr:uid="{0D79F7C1-4EFD-4BEE-B4B3-CF7583FB07A5}"/>
    <cellStyle name="Normal 2 4 5 2 6 3 3" xfId="23708" xr:uid="{63939F94-2DA9-4E33-9B57-8DF6F1220DE0}"/>
    <cellStyle name="Normal 2 4 5 2 6 4" xfId="11044" xr:uid="{46A7E896-5012-4432-ACE4-FB7EE06EB5A9}"/>
    <cellStyle name="Normal 2 4 5 2 6 5" xfId="19491" xr:uid="{90506E24-8ABD-41B3-9A2D-91642541FB3A}"/>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F1631459-0D1F-4695-842C-16E1335AB874}"/>
    <cellStyle name="Normal 2 4 5 2 7 2 2 3" xfId="26266" xr:uid="{FB19E4B4-3642-40E4-BD82-E3C0D473F651}"/>
    <cellStyle name="Normal 2 4 5 2 7 2 3" xfId="13602" xr:uid="{89F64B3C-7276-41DF-87C7-99459FC57951}"/>
    <cellStyle name="Normal 2 4 5 2 7 2 4" xfId="22049" xr:uid="{C9CD4721-24BA-4396-AF4B-4AB84144323B}"/>
    <cellStyle name="Normal 2 4 5 2 7 3" xfId="6348" xr:uid="{00000000-0005-0000-0000-000082100000}"/>
    <cellStyle name="Normal 2 4 5 2 7 3 2" xfId="15674" xr:uid="{E08BDF85-D214-454D-B665-2547A894782D}"/>
    <cellStyle name="Normal 2 4 5 2 7 3 3" xfId="24121" xr:uid="{2D46791C-CC72-4A7F-A1FF-C1C318E9DA4B}"/>
    <cellStyle name="Normal 2 4 5 2 7 4" xfId="11457" xr:uid="{A0469224-1951-4F1A-A3FB-A12226242B3C}"/>
    <cellStyle name="Normal 2 4 5 2 7 5" xfId="19904" xr:uid="{F69798CF-E955-4DD0-B88D-69524CF09A77}"/>
    <cellStyle name="Normal 2 4 5 2 8" xfId="2478" xr:uid="{00000000-0005-0000-0000-000083100000}"/>
    <cellStyle name="Normal 2 4 5 2 8 2" xfId="6761" xr:uid="{00000000-0005-0000-0000-000084100000}"/>
    <cellStyle name="Normal 2 4 5 2 8 2 2" xfId="16087" xr:uid="{28568ED5-0A3C-4D32-BDFF-6B16A481E37F}"/>
    <cellStyle name="Normal 2 4 5 2 8 2 3" xfId="24534" xr:uid="{F1DB4A3A-426B-453E-A0D8-0604B0D7AD59}"/>
    <cellStyle name="Normal 2 4 5 2 8 3" xfId="11870" xr:uid="{10E961EC-C64D-4F21-A2E1-E51C90698B86}"/>
    <cellStyle name="Normal 2 4 5 2 8 4" xfId="20317" xr:uid="{4274EC05-521B-4B1A-853C-23F615037E2A}"/>
    <cellStyle name="Normal 2 4 5 2 9" xfId="4695" xr:uid="{00000000-0005-0000-0000-000085100000}"/>
    <cellStyle name="Normal 2 4 5 2 9 2" xfId="14021" xr:uid="{3CF26FD8-191B-4BEC-8A8F-F676C45880E7}"/>
    <cellStyle name="Normal 2 4 5 2 9 3" xfId="22468" xr:uid="{6FA6D4FF-E614-458F-8DC5-9593C9427349}"/>
    <cellStyle name="Normal 2 4 5 3" xfId="308" xr:uid="{00000000-0005-0000-0000-000086100000}"/>
    <cellStyle name="Normal 2 4 5 3 10" xfId="9808" xr:uid="{6B1F0CDB-CCC9-4441-810C-54FAC973E051}"/>
    <cellStyle name="Normal 2 4 5 3 11" xfId="18255" xr:uid="{C1A6B1C3-8409-48DB-9CD4-CE686250BA01}"/>
    <cellStyle name="Normal 2 4 5 3 2" xfId="309" xr:uid="{00000000-0005-0000-0000-000087100000}"/>
    <cellStyle name="Normal 2 4 5 3 2 10" xfId="18256" xr:uid="{CE45C923-0F3F-4367-B1B0-C5333527B185}"/>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F3260D70-6E54-41C6-9EF7-48C19C5A21AA}"/>
    <cellStyle name="Normal 2 4 5 3 2 2 2 2 3" xfId="25032" xr:uid="{FFCFE873-61F0-4C9F-AFF5-6D621A646F66}"/>
    <cellStyle name="Normal 2 4 5 3 2 2 2 3" xfId="12368" xr:uid="{DFB0E4F3-3A62-4706-9480-0790C44FF4D5}"/>
    <cellStyle name="Normal 2 4 5 3 2 2 2 4" xfId="20815" xr:uid="{650915D4-DB4E-4DD4-870C-D259A7F9B9CB}"/>
    <cellStyle name="Normal 2 4 5 3 2 2 3" xfId="5114" xr:uid="{00000000-0005-0000-0000-00008B100000}"/>
    <cellStyle name="Normal 2 4 5 3 2 2 3 2" xfId="14440" xr:uid="{AD5AFE53-65F4-4308-B51A-2392863AA944}"/>
    <cellStyle name="Normal 2 4 5 3 2 2 3 3" xfId="22887" xr:uid="{3E470DC2-21EB-4794-9D4C-2480D205EBCE}"/>
    <cellStyle name="Normal 2 4 5 3 2 2 4" xfId="9515" xr:uid="{A1D6949C-773D-44DB-B26F-4DD01D24FF00}"/>
    <cellStyle name="Normal 2 4 5 3 2 2 5" xfId="10223" xr:uid="{34613947-525E-452F-8C85-0DF467E0DC12}"/>
    <cellStyle name="Normal 2 4 5 3 2 2 6" xfId="18670" xr:uid="{27EA9F93-9C5A-460C-B9F6-5FC8654B7016}"/>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A2AE95A5-BE10-4163-A492-2EE0043A15AE}"/>
    <cellStyle name="Normal 2 4 5 3 2 3 2 2 3" xfId="25445" xr:uid="{2B822524-88AF-4173-909D-57202E995D40}"/>
    <cellStyle name="Normal 2 4 5 3 2 3 2 3" xfId="12781" xr:uid="{6A2255A1-E1CF-4183-BFA8-53DE23068307}"/>
    <cellStyle name="Normal 2 4 5 3 2 3 2 4" xfId="21228" xr:uid="{6620A09B-AC63-450E-AA23-EDE8A4FBDFD4}"/>
    <cellStyle name="Normal 2 4 5 3 2 3 3" xfId="5527" xr:uid="{00000000-0005-0000-0000-00008F100000}"/>
    <cellStyle name="Normal 2 4 5 3 2 3 3 2" xfId="14853" xr:uid="{8031603A-7605-47DA-9E09-173C1B094078}"/>
    <cellStyle name="Normal 2 4 5 3 2 3 3 3" xfId="23300" xr:uid="{57047B51-FD95-4A66-9875-085C625C9576}"/>
    <cellStyle name="Normal 2 4 5 3 2 3 4" xfId="10636" xr:uid="{79D4A34F-504B-43DE-8D98-D091442FD198}"/>
    <cellStyle name="Normal 2 4 5 3 2 3 5" xfId="19083" xr:uid="{D6D0DB12-B2A9-4296-A5BA-BD59EFC391E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245750D1-42D1-4B58-956D-9021C2F2523B}"/>
    <cellStyle name="Normal 2 4 5 3 2 4 2 2 3" xfId="25858" xr:uid="{431E2B34-46D0-491D-9568-517C8D578545}"/>
    <cellStyle name="Normal 2 4 5 3 2 4 2 3" xfId="13194" xr:uid="{BAFCB3BB-E0FA-4F9E-82FA-AD4D9C84AD57}"/>
    <cellStyle name="Normal 2 4 5 3 2 4 2 4" xfId="21641" xr:uid="{B71A8FED-B97E-46E6-8988-4899617CAA79}"/>
    <cellStyle name="Normal 2 4 5 3 2 4 3" xfId="5940" xr:uid="{00000000-0005-0000-0000-000093100000}"/>
    <cellStyle name="Normal 2 4 5 3 2 4 3 2" xfId="15266" xr:uid="{81BF7AF6-8286-47CC-8769-9B66FA2A2A93}"/>
    <cellStyle name="Normal 2 4 5 3 2 4 3 3" xfId="23713" xr:uid="{DCA010C4-B90A-41C9-9B70-611E26561FB7}"/>
    <cellStyle name="Normal 2 4 5 3 2 4 4" xfId="11049" xr:uid="{EE4E2AD9-F00B-4614-A5BC-0AAE8BB122E8}"/>
    <cellStyle name="Normal 2 4 5 3 2 4 5" xfId="19496" xr:uid="{71B14810-12FB-44B4-B4D9-FFECC1AA87A9}"/>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F9AF655E-B3D3-4554-B096-3E34FF0E8640}"/>
    <cellStyle name="Normal 2 4 5 3 2 5 2 2 3" xfId="26271" xr:uid="{C5F92C34-1FEA-486F-9D32-09DB202C5861}"/>
    <cellStyle name="Normal 2 4 5 3 2 5 2 3" xfId="13607" xr:uid="{5CB9C535-4781-4DDF-B371-EF267EC3BD71}"/>
    <cellStyle name="Normal 2 4 5 3 2 5 2 4" xfId="22054" xr:uid="{B5C05239-A589-42EF-A967-D3447065AA1D}"/>
    <cellStyle name="Normal 2 4 5 3 2 5 3" xfId="6353" xr:uid="{00000000-0005-0000-0000-000097100000}"/>
    <cellStyle name="Normal 2 4 5 3 2 5 3 2" xfId="15679" xr:uid="{7D997932-AFF6-4C99-AD6D-1CCEA93DC243}"/>
    <cellStyle name="Normal 2 4 5 3 2 5 3 3" xfId="24126" xr:uid="{0257D420-06DF-4B55-995D-7A2CCB7C3D03}"/>
    <cellStyle name="Normal 2 4 5 3 2 5 4" xfId="11462" xr:uid="{6BBBD379-B9DD-4052-ABDC-CC623B8E5864}"/>
    <cellStyle name="Normal 2 4 5 3 2 5 5" xfId="19909" xr:uid="{98CDC69B-4278-48EF-B014-EB7A5E356B89}"/>
    <cellStyle name="Normal 2 4 5 3 2 6" xfId="2483" xr:uid="{00000000-0005-0000-0000-000098100000}"/>
    <cellStyle name="Normal 2 4 5 3 2 6 2" xfId="6766" xr:uid="{00000000-0005-0000-0000-000099100000}"/>
    <cellStyle name="Normal 2 4 5 3 2 6 2 2" xfId="16092" xr:uid="{77CAC7F9-00F4-43F1-BA74-4705361389C8}"/>
    <cellStyle name="Normal 2 4 5 3 2 6 2 3" xfId="24539" xr:uid="{4BB8FB5F-7196-4CED-9DF7-00FBE6E94FD2}"/>
    <cellStyle name="Normal 2 4 5 3 2 6 3" xfId="11875" xr:uid="{29FEEA66-6B97-4923-92EC-793327B075E6}"/>
    <cellStyle name="Normal 2 4 5 3 2 6 4" xfId="20322" xr:uid="{A8FC3F31-8409-409D-95D6-99A39FC141B2}"/>
    <cellStyle name="Normal 2 4 5 3 2 7" xfId="4700" xr:uid="{00000000-0005-0000-0000-00009A100000}"/>
    <cellStyle name="Normal 2 4 5 3 2 7 2" xfId="14026" xr:uid="{AB5A93EE-423A-4612-B16C-0BF02B935FE8}"/>
    <cellStyle name="Normal 2 4 5 3 2 7 3" xfId="22473" xr:uid="{E920C1F3-F08F-4EA1-AB29-251BCD5AB8D9}"/>
    <cellStyle name="Normal 2 4 5 3 2 8" xfId="9090" xr:uid="{4B64C5F8-5AC3-43D3-B94A-46850BBF79A5}"/>
    <cellStyle name="Normal 2 4 5 3 2 9" xfId="9809" xr:uid="{D4F18ED0-79B7-4D13-9EF9-B423E98DB93A}"/>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D7EE679D-C4AA-4FAD-8459-E3916AD9C023}"/>
    <cellStyle name="Normal 2 4 5 3 3 2 2 3" xfId="25031" xr:uid="{8238CC57-AFA6-44ED-95E1-3848AC460B04}"/>
    <cellStyle name="Normal 2 4 5 3 3 2 3" xfId="12367" xr:uid="{5E9F0E75-F161-4999-8E06-E3D57DD0FE8F}"/>
    <cellStyle name="Normal 2 4 5 3 3 2 4" xfId="20814" xr:uid="{95B4194C-46D5-4380-AD92-4310B2C7F8B0}"/>
    <cellStyle name="Normal 2 4 5 3 3 3" xfId="5113" xr:uid="{00000000-0005-0000-0000-00009E100000}"/>
    <cellStyle name="Normal 2 4 5 3 3 3 2" xfId="14439" xr:uid="{4D7BAB9E-275B-4B2D-B57D-209656324B37}"/>
    <cellStyle name="Normal 2 4 5 3 3 3 3" xfId="22886" xr:uid="{6D213B84-3A54-4DFD-9AA9-0918B7F96B7A}"/>
    <cellStyle name="Normal 2 4 5 3 3 4" xfId="9308" xr:uid="{40198FFA-4C90-42BE-90C8-42459F1A2A1C}"/>
    <cellStyle name="Normal 2 4 5 3 3 5" xfId="10222" xr:uid="{0B21342F-0D2C-48E0-82E3-F03738448947}"/>
    <cellStyle name="Normal 2 4 5 3 3 6" xfId="18669" xr:uid="{05A822C3-01FB-4009-BEA7-A02B852A67EE}"/>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E6295546-1E79-4A31-B264-CF352C368B99}"/>
    <cellStyle name="Normal 2 4 5 3 4 2 2 3" xfId="25444" xr:uid="{CF50D4E7-779D-46DF-9050-F3F37FC1A88D}"/>
    <cellStyle name="Normal 2 4 5 3 4 2 3" xfId="12780" xr:uid="{D706E7BB-060C-45EF-B899-608B42747C72}"/>
    <cellStyle name="Normal 2 4 5 3 4 2 4" xfId="21227" xr:uid="{115C1D04-40BF-4F46-B7E8-D184CC22FCB7}"/>
    <cellStyle name="Normal 2 4 5 3 4 3" xfId="5526" xr:uid="{00000000-0005-0000-0000-0000A2100000}"/>
    <cellStyle name="Normal 2 4 5 3 4 3 2" xfId="14852" xr:uid="{25FD4B64-5FE8-4B3A-B4C4-F64FADA64C03}"/>
    <cellStyle name="Normal 2 4 5 3 4 3 3" xfId="23299" xr:uid="{8AC8C4BA-DC9E-4D47-A5E8-9617DB69CEAF}"/>
    <cellStyle name="Normal 2 4 5 3 4 4" xfId="10635" xr:uid="{A8BC727E-E879-4FDF-A975-7EE8B18315CF}"/>
    <cellStyle name="Normal 2 4 5 3 4 5" xfId="19082" xr:uid="{235C76DA-CA67-404C-AD97-A5173F3370B0}"/>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242FA238-924C-4F57-9A7D-6F3722F095D7}"/>
    <cellStyle name="Normal 2 4 5 3 5 2 2 3" xfId="25857" xr:uid="{092AF9D9-3921-4C61-956D-3ABC631A13A2}"/>
    <cellStyle name="Normal 2 4 5 3 5 2 3" xfId="13193" xr:uid="{EB2CEA8E-2200-446C-9A83-1E93AD274B0F}"/>
    <cellStyle name="Normal 2 4 5 3 5 2 4" xfId="21640" xr:uid="{65217F39-B61F-4971-8C7E-8FD50A87A14E}"/>
    <cellStyle name="Normal 2 4 5 3 5 3" xfId="5939" xr:uid="{00000000-0005-0000-0000-0000A6100000}"/>
    <cellStyle name="Normal 2 4 5 3 5 3 2" xfId="15265" xr:uid="{F751BEA0-4DF9-46EF-9083-0B2A07302E57}"/>
    <cellStyle name="Normal 2 4 5 3 5 3 3" xfId="23712" xr:uid="{82205BFE-2444-4794-B667-C91300054AE6}"/>
    <cellStyle name="Normal 2 4 5 3 5 4" xfId="11048" xr:uid="{DFDB96B0-5EF4-4DE1-89E2-8CE1F5FA6DE7}"/>
    <cellStyle name="Normal 2 4 5 3 5 5" xfId="19495" xr:uid="{76ED98BF-A04C-498A-B472-1982C48E9839}"/>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D28881E6-3C52-4C16-92ED-098589D26BE5}"/>
    <cellStyle name="Normal 2 4 5 3 6 2 2 3" xfId="26270" xr:uid="{4DEE182E-8BC5-4EEB-8385-AB097E365F43}"/>
    <cellStyle name="Normal 2 4 5 3 6 2 3" xfId="13606" xr:uid="{BB6B01CC-F5CA-4076-9252-8A85539C49C2}"/>
    <cellStyle name="Normal 2 4 5 3 6 2 4" xfId="22053" xr:uid="{F5FE1C66-D959-42F3-B34A-ABE445811C70}"/>
    <cellStyle name="Normal 2 4 5 3 6 3" xfId="6352" xr:uid="{00000000-0005-0000-0000-0000AA100000}"/>
    <cellStyle name="Normal 2 4 5 3 6 3 2" xfId="15678" xr:uid="{3B915C70-2B01-42C2-B80A-EB1597ABA845}"/>
    <cellStyle name="Normal 2 4 5 3 6 3 3" xfId="24125" xr:uid="{BA1D9CBC-E8E9-4025-99AD-097845008206}"/>
    <cellStyle name="Normal 2 4 5 3 6 4" xfId="11461" xr:uid="{3EE4E482-1232-44A7-9F72-4202F36DD089}"/>
    <cellStyle name="Normal 2 4 5 3 6 5" xfId="19908" xr:uid="{321CC01C-9580-4E28-B25D-2C2FFCA69602}"/>
    <cellStyle name="Normal 2 4 5 3 7" xfId="2482" xr:uid="{00000000-0005-0000-0000-0000AB100000}"/>
    <cellStyle name="Normal 2 4 5 3 7 2" xfId="6765" xr:uid="{00000000-0005-0000-0000-0000AC100000}"/>
    <cellStyle name="Normal 2 4 5 3 7 2 2" xfId="16091" xr:uid="{431F3AC4-FFD4-4F37-88E4-73DA79536D32}"/>
    <cellStyle name="Normal 2 4 5 3 7 2 3" xfId="24538" xr:uid="{CDACC356-AE82-4D15-A21F-11A2609F55FA}"/>
    <cellStyle name="Normal 2 4 5 3 7 3" xfId="11874" xr:uid="{F5288AF4-1EC6-4198-90EE-47E97A6D84B1}"/>
    <cellStyle name="Normal 2 4 5 3 7 4" xfId="20321" xr:uid="{A7B10F84-945A-491C-9239-C7317F3B5D9D}"/>
    <cellStyle name="Normal 2 4 5 3 8" xfId="4699" xr:uid="{00000000-0005-0000-0000-0000AD100000}"/>
    <cellStyle name="Normal 2 4 5 3 8 2" xfId="14025" xr:uid="{7A667030-5790-494D-802F-F6FDC468E260}"/>
    <cellStyle name="Normal 2 4 5 3 8 3" xfId="22472" xr:uid="{78D5CE13-3FFF-48F5-86E4-A096A6B2BBDC}"/>
    <cellStyle name="Normal 2 4 5 3 9" xfId="8883" xr:uid="{0A470B75-873E-4D74-A257-113E3E343E18}"/>
    <cellStyle name="Normal 2 4 5 4" xfId="310" xr:uid="{00000000-0005-0000-0000-0000AE100000}"/>
    <cellStyle name="Normal 2 4 5 4 10" xfId="18257" xr:uid="{1A28580C-9A40-43AA-BB06-DE7FA2DFB899}"/>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1201F15E-C99D-4D07-986F-115905622174}"/>
    <cellStyle name="Normal 2 4 5 4 2 2 2 3" xfId="25033" xr:uid="{253B2AFE-8192-4B59-B34B-906FC2DB7985}"/>
    <cellStyle name="Normal 2 4 5 4 2 2 3" xfId="12369" xr:uid="{79AF1B5C-5A97-46C0-87C3-57A622AC41E1}"/>
    <cellStyle name="Normal 2 4 5 4 2 2 4" xfId="20816" xr:uid="{F5297500-3EA5-4FEA-BB11-92F7CCEAC16B}"/>
    <cellStyle name="Normal 2 4 5 4 2 3" xfId="5115" xr:uid="{00000000-0005-0000-0000-0000B2100000}"/>
    <cellStyle name="Normal 2 4 5 4 2 3 2" xfId="14441" xr:uid="{4AF3F651-950D-4FCC-8A5E-63A1B1F3AE2A}"/>
    <cellStyle name="Normal 2 4 5 4 2 3 3" xfId="22888" xr:uid="{10CBE6EA-02FB-4C68-807A-B17718DDB2D8}"/>
    <cellStyle name="Normal 2 4 5 4 2 4" xfId="9412" xr:uid="{0ECAC303-3EA0-4623-AA0F-854157CA32E5}"/>
    <cellStyle name="Normal 2 4 5 4 2 5" xfId="10224" xr:uid="{6300837B-E292-4468-ABFD-3A1618C9B66F}"/>
    <cellStyle name="Normal 2 4 5 4 2 6" xfId="18671" xr:uid="{54CB3B01-E83D-46E5-AA40-7E404F542212}"/>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430D6190-15EC-448A-B46F-42C0FA2E105B}"/>
    <cellStyle name="Normal 2 4 5 4 3 2 2 3" xfId="25446" xr:uid="{8C1A3A6D-5DC9-4026-98C0-4E14B6216F5B}"/>
    <cellStyle name="Normal 2 4 5 4 3 2 3" xfId="12782" xr:uid="{4FF18778-3BDD-45E4-A971-F7EFE77397D6}"/>
    <cellStyle name="Normal 2 4 5 4 3 2 4" xfId="21229" xr:uid="{A150A9EF-A641-45DA-A83F-96092562B6E4}"/>
    <cellStyle name="Normal 2 4 5 4 3 3" xfId="5528" xr:uid="{00000000-0005-0000-0000-0000B6100000}"/>
    <cellStyle name="Normal 2 4 5 4 3 3 2" xfId="14854" xr:uid="{395B2E13-CA44-44D6-BB35-098415FCD0DD}"/>
    <cellStyle name="Normal 2 4 5 4 3 3 3" xfId="23301" xr:uid="{854C5EA8-6EB7-4E7E-A831-79A50A2F81B2}"/>
    <cellStyle name="Normal 2 4 5 4 3 4" xfId="10637" xr:uid="{0C88DA3A-DD9B-4B42-8310-BD05BA7C8D08}"/>
    <cellStyle name="Normal 2 4 5 4 3 5" xfId="19084" xr:uid="{042D1C48-AC6D-447E-92D4-A33DB7E805C1}"/>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F7F759E9-EA88-4968-A640-9A1FC10A8D17}"/>
    <cellStyle name="Normal 2 4 5 4 4 2 2 3" xfId="25859" xr:uid="{737D71C5-0CD9-4802-9E8F-0FAAD1BE0060}"/>
    <cellStyle name="Normal 2 4 5 4 4 2 3" xfId="13195" xr:uid="{9C70B2F2-CFBF-432D-A206-54A5074A230C}"/>
    <cellStyle name="Normal 2 4 5 4 4 2 4" xfId="21642" xr:uid="{A0787DF7-DF94-4339-A541-E5527980BB76}"/>
    <cellStyle name="Normal 2 4 5 4 4 3" xfId="5941" xr:uid="{00000000-0005-0000-0000-0000BA100000}"/>
    <cellStyle name="Normal 2 4 5 4 4 3 2" xfId="15267" xr:uid="{3A70E57F-D64F-47F4-8672-ADF8C74F00F9}"/>
    <cellStyle name="Normal 2 4 5 4 4 3 3" xfId="23714" xr:uid="{85191970-EF16-47B4-983D-1566FF595105}"/>
    <cellStyle name="Normal 2 4 5 4 4 4" xfId="11050" xr:uid="{D615A8DB-3971-426C-9273-6AADA236454B}"/>
    <cellStyle name="Normal 2 4 5 4 4 5" xfId="19497" xr:uid="{034EDA4B-1E8C-48C2-8629-B3930D30A030}"/>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46A62946-2FDF-4FB5-B738-2888D2381391}"/>
    <cellStyle name="Normal 2 4 5 4 5 2 2 3" xfId="26272" xr:uid="{9C945C99-A1E6-41E1-B573-1AA7705036BD}"/>
    <cellStyle name="Normal 2 4 5 4 5 2 3" xfId="13608" xr:uid="{484E1E31-2570-44EF-AFBE-C7F81D11C96B}"/>
    <cellStyle name="Normal 2 4 5 4 5 2 4" xfId="22055" xr:uid="{3D9D3C9E-5209-417B-A3CB-2DF947CED054}"/>
    <cellStyle name="Normal 2 4 5 4 5 3" xfId="6354" xr:uid="{00000000-0005-0000-0000-0000BE100000}"/>
    <cellStyle name="Normal 2 4 5 4 5 3 2" xfId="15680" xr:uid="{23A89286-DC11-4A0F-BEE3-AE06C395599F}"/>
    <cellStyle name="Normal 2 4 5 4 5 3 3" xfId="24127" xr:uid="{ADDCA434-4F31-4CBE-98A7-78B8984AA324}"/>
    <cellStyle name="Normal 2 4 5 4 5 4" xfId="11463" xr:uid="{BACEE527-35A4-4D57-B112-2946D70143E9}"/>
    <cellStyle name="Normal 2 4 5 4 5 5" xfId="19910" xr:uid="{6A011090-620D-46E7-ADC1-26C2ED087A16}"/>
    <cellStyle name="Normal 2 4 5 4 6" xfId="2484" xr:uid="{00000000-0005-0000-0000-0000BF100000}"/>
    <cellStyle name="Normal 2 4 5 4 6 2" xfId="6767" xr:uid="{00000000-0005-0000-0000-0000C0100000}"/>
    <cellStyle name="Normal 2 4 5 4 6 2 2" xfId="16093" xr:uid="{DEDCF2CA-5FCA-493E-BFF7-3CDF20CC7BB7}"/>
    <cellStyle name="Normal 2 4 5 4 6 2 3" xfId="24540" xr:uid="{04CC6D46-8599-4A23-8459-55F6C3DA0298}"/>
    <cellStyle name="Normal 2 4 5 4 6 3" xfId="11876" xr:uid="{26FC455A-2149-437E-A5C1-3C8111F17C41}"/>
    <cellStyle name="Normal 2 4 5 4 6 4" xfId="20323" xr:uid="{DE965F91-5606-4747-916B-EF5D90D33F8C}"/>
    <cellStyle name="Normal 2 4 5 4 7" xfId="4701" xr:uid="{00000000-0005-0000-0000-0000C1100000}"/>
    <cellStyle name="Normal 2 4 5 4 7 2" xfId="14027" xr:uid="{A3C9A74C-7AAF-48BC-8946-283D5929AC73}"/>
    <cellStyle name="Normal 2 4 5 4 7 3" xfId="22474" xr:uid="{546EC6C3-8C6F-47F9-AC8A-2CF21E4C55B2}"/>
    <cellStyle name="Normal 2 4 5 4 8" xfId="8987" xr:uid="{8DC2C01A-3078-41AD-BCFB-AA1CA8EE9C0A}"/>
    <cellStyle name="Normal 2 4 5 4 9" xfId="9810" xr:uid="{5C5FFD5E-A543-46A9-9EF2-25952E689F3D}"/>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B05ABAAA-6C4D-4C84-93A9-3E56AC0CC6DE}"/>
    <cellStyle name="Normal 2 4 5 5 2 2 3" xfId="25026" xr:uid="{7F65AC8D-38A1-4046-88C1-EBEFB722F1FD}"/>
    <cellStyle name="Normal 2 4 5 5 2 3" xfId="12362" xr:uid="{B2491968-0334-4E6A-85FD-EB57E972141E}"/>
    <cellStyle name="Normal 2 4 5 5 2 4" xfId="20809" xr:uid="{DAECEFAB-E947-4906-8D3D-BA4D67500370}"/>
    <cellStyle name="Normal 2 4 5 5 3" xfId="5108" xr:uid="{00000000-0005-0000-0000-0000C5100000}"/>
    <cellStyle name="Normal 2 4 5 5 3 2" xfId="14434" xr:uid="{9646D025-C0B8-4EC3-BEFB-DD54B10F4E40}"/>
    <cellStyle name="Normal 2 4 5 5 3 3" xfId="22881" xr:uid="{B7FAD09E-FD7B-4ED3-9D0E-E107FB88CEDB}"/>
    <cellStyle name="Normal 2 4 5 5 4" xfId="9204" xr:uid="{BE34B337-03EE-47D8-9E35-2EE6FAB30236}"/>
    <cellStyle name="Normal 2 4 5 5 5" xfId="10217" xr:uid="{41F9530D-4646-43FA-9C5C-F245B46F7781}"/>
    <cellStyle name="Normal 2 4 5 5 6" xfId="18664" xr:uid="{7FBA153A-A3F4-4F0A-9917-4BA3F7BED041}"/>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056AB851-550F-4DFA-921E-B73559C32FC5}"/>
    <cellStyle name="Normal 2 4 5 6 2 2 3" xfId="25439" xr:uid="{4ED9DC9A-5E85-43AA-888F-C097ABFA34D1}"/>
    <cellStyle name="Normal 2 4 5 6 2 3" xfId="12775" xr:uid="{3B3BD295-767A-4659-8E51-BDA5E70C5E87}"/>
    <cellStyle name="Normal 2 4 5 6 2 4" xfId="21222" xr:uid="{DCC14D2F-5C96-4D65-8388-057131143E15}"/>
    <cellStyle name="Normal 2 4 5 6 3" xfId="5521" xr:uid="{00000000-0005-0000-0000-0000C9100000}"/>
    <cellStyle name="Normal 2 4 5 6 3 2" xfId="14847" xr:uid="{54A8E9F6-DA77-4662-925D-ECC257C03609}"/>
    <cellStyle name="Normal 2 4 5 6 3 3" xfId="23294" xr:uid="{0EEFF44A-E5D5-4349-9FA1-9E0C40BC332F}"/>
    <cellStyle name="Normal 2 4 5 6 4" xfId="10630" xr:uid="{F90A4B8E-37FA-4C55-B07C-9B2F3D8A9C94}"/>
    <cellStyle name="Normal 2 4 5 6 5" xfId="19077" xr:uid="{5CD66206-730C-40CE-A522-CE46C9448687}"/>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8FDA5C4D-4B57-4D60-A1FF-512B1B0E73F3}"/>
    <cellStyle name="Normal 2 4 5 7 2 2 3" xfId="25852" xr:uid="{6D259006-611F-4982-BF45-571D9CA54DF3}"/>
    <cellStyle name="Normal 2 4 5 7 2 3" xfId="13188" xr:uid="{964EAD52-486B-4714-BF59-49908BC1E166}"/>
    <cellStyle name="Normal 2 4 5 7 2 4" xfId="21635" xr:uid="{8841EC43-E775-499A-866C-FAFE53B66B9B}"/>
    <cellStyle name="Normal 2 4 5 7 3" xfId="5934" xr:uid="{00000000-0005-0000-0000-0000CD100000}"/>
    <cellStyle name="Normal 2 4 5 7 3 2" xfId="15260" xr:uid="{1228308E-E731-4F7F-A916-1FC098454FD2}"/>
    <cellStyle name="Normal 2 4 5 7 3 3" xfId="23707" xr:uid="{B78873CF-50ED-454C-94E0-F72E16455B68}"/>
    <cellStyle name="Normal 2 4 5 7 4" xfId="11043" xr:uid="{841E51AE-9750-43A6-91AC-766BD5FB3500}"/>
    <cellStyle name="Normal 2 4 5 7 5" xfId="19490" xr:uid="{DECBA1A4-5AC7-453E-BD9F-46A248A63058}"/>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C206268B-A368-4BEF-A3DE-EAE2CF0258F6}"/>
    <cellStyle name="Normal 2 4 5 8 2 2 3" xfId="26265" xr:uid="{03FEBCF6-1884-487D-AB4F-583C240B113A}"/>
    <cellStyle name="Normal 2 4 5 8 2 3" xfId="13601" xr:uid="{C28B2843-C452-4E39-9C61-BF9A7AC4B7C8}"/>
    <cellStyle name="Normal 2 4 5 8 2 4" xfId="22048" xr:uid="{F1D1EB25-9C65-429B-8722-013773FA5119}"/>
    <cellStyle name="Normal 2 4 5 8 3" xfId="6347" xr:uid="{00000000-0005-0000-0000-0000D1100000}"/>
    <cellStyle name="Normal 2 4 5 8 3 2" xfId="15673" xr:uid="{CA764715-6997-41E7-BA71-C2F2158D9D2C}"/>
    <cellStyle name="Normal 2 4 5 8 3 3" xfId="24120" xr:uid="{03172FE6-C096-4A9B-BC16-4744EEB57900}"/>
    <cellStyle name="Normal 2 4 5 8 4" xfId="11456" xr:uid="{B5E3E714-3214-4E61-B4F8-8E469D015588}"/>
    <cellStyle name="Normal 2 4 5 8 5" xfId="19903" xr:uid="{121757A6-44CA-40EC-9F66-441A06CB306D}"/>
    <cellStyle name="Normal 2 4 5 9" xfId="2477" xr:uid="{00000000-0005-0000-0000-0000D2100000}"/>
    <cellStyle name="Normal 2 4 5 9 2" xfId="6760" xr:uid="{00000000-0005-0000-0000-0000D3100000}"/>
    <cellStyle name="Normal 2 4 5 9 2 2" xfId="16086" xr:uid="{1C0B744D-2AAC-4E03-AACE-1C8D7188FB0A}"/>
    <cellStyle name="Normal 2 4 5 9 2 3" xfId="24533" xr:uid="{239B4427-DE21-4ECA-8317-C4E85188B3E3}"/>
    <cellStyle name="Normal 2 4 5 9 3" xfId="11869" xr:uid="{C03D2294-D787-439C-B630-CF4027E5F5B8}"/>
    <cellStyle name="Normal 2 4 5 9 4" xfId="20316" xr:uid="{0833015D-5181-415A-BB30-8A74CA2EEBBC}"/>
    <cellStyle name="Normal 2 4 6" xfId="311" xr:uid="{00000000-0005-0000-0000-0000D4100000}"/>
    <cellStyle name="Normal 2 4 7" xfId="312" xr:uid="{00000000-0005-0000-0000-0000D5100000}"/>
    <cellStyle name="Normal 2 4 7 10" xfId="9811" xr:uid="{DF20C4AE-1042-46A8-A64F-4FFB655FA758}"/>
    <cellStyle name="Normal 2 4 7 11" xfId="18258" xr:uid="{9465E3EB-57FC-45A0-85F0-E2AB7D01FCCC}"/>
    <cellStyle name="Normal 2 4 7 2" xfId="313" xr:uid="{00000000-0005-0000-0000-0000D6100000}"/>
    <cellStyle name="Normal 2 4 7 2 10" xfId="18259" xr:uid="{8FD0F402-DAD7-4D91-A1DB-372D44D3D0CF}"/>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C23D2117-D1C7-43A3-AF7D-8AB494323E50}"/>
    <cellStyle name="Normal 2 4 7 2 2 2 2 3" xfId="25035" xr:uid="{90E6247C-907A-440C-8124-B6B77EDCF4DF}"/>
    <cellStyle name="Normal 2 4 7 2 2 2 3" xfId="12371" xr:uid="{D74448A3-1E35-464F-8F1C-BDF8CCDFB985}"/>
    <cellStyle name="Normal 2 4 7 2 2 2 4" xfId="20818" xr:uid="{3748EBF5-FF5E-4919-A025-C9188F43278A}"/>
    <cellStyle name="Normal 2 4 7 2 2 3" xfId="5117" xr:uid="{00000000-0005-0000-0000-0000DA100000}"/>
    <cellStyle name="Normal 2 4 7 2 2 3 2" xfId="14443" xr:uid="{717CD36D-DA4C-417B-A8B8-596926E3E7C5}"/>
    <cellStyle name="Normal 2 4 7 2 2 3 3" xfId="22890" xr:uid="{5A38228A-3DFC-4D15-8D3B-7157825036B5}"/>
    <cellStyle name="Normal 2 4 7 2 2 4" xfId="9483" xr:uid="{3D7EFF6F-050D-4214-91CB-DF2673F23584}"/>
    <cellStyle name="Normal 2 4 7 2 2 5" xfId="10226" xr:uid="{C7A8B75C-5BFA-4B56-8D70-A8D7CB29DB9B}"/>
    <cellStyle name="Normal 2 4 7 2 2 6" xfId="18673" xr:uid="{372F1C34-5B84-4FF0-9205-D7C60272DF05}"/>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B595C00B-7802-4D61-9A27-C34610FDDDF3}"/>
    <cellStyle name="Normal 2 4 7 2 3 2 2 3" xfId="25448" xr:uid="{3301D9D7-9ED6-4C93-85E4-4E915C57B192}"/>
    <cellStyle name="Normal 2 4 7 2 3 2 3" xfId="12784" xr:uid="{4B5FECFB-9AA4-4EBA-86DF-FC5BE50FF781}"/>
    <cellStyle name="Normal 2 4 7 2 3 2 4" xfId="21231" xr:uid="{4811F5A7-C6F6-4177-9CEE-ED3F9D297A64}"/>
    <cellStyle name="Normal 2 4 7 2 3 3" xfId="5530" xr:uid="{00000000-0005-0000-0000-0000DE100000}"/>
    <cellStyle name="Normal 2 4 7 2 3 3 2" xfId="14856" xr:uid="{476F4A7D-685D-44BD-B64A-A501708D7682}"/>
    <cellStyle name="Normal 2 4 7 2 3 3 3" xfId="23303" xr:uid="{F195A1F5-3713-49AF-BA36-16EA0971164F}"/>
    <cellStyle name="Normal 2 4 7 2 3 4" xfId="10639" xr:uid="{AACF63ED-C8F4-4397-B073-18959E4E9BD6}"/>
    <cellStyle name="Normal 2 4 7 2 3 5" xfId="19086" xr:uid="{D5025C7E-BE1C-40C4-9391-27A02F25A099}"/>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BFC1B405-6DC9-41A8-B879-284BE34E91C3}"/>
    <cellStyle name="Normal 2 4 7 2 4 2 2 3" xfId="25861" xr:uid="{DD4F0CF9-7363-4ADF-A9EB-8BEFF9C2B5EF}"/>
    <cellStyle name="Normal 2 4 7 2 4 2 3" xfId="13197" xr:uid="{2C27B995-BFAC-4007-9961-C87EFEB3C014}"/>
    <cellStyle name="Normal 2 4 7 2 4 2 4" xfId="21644" xr:uid="{E89D8778-FDE8-40B0-8D85-64B18226FC1F}"/>
    <cellStyle name="Normal 2 4 7 2 4 3" xfId="5943" xr:uid="{00000000-0005-0000-0000-0000E2100000}"/>
    <cellStyle name="Normal 2 4 7 2 4 3 2" xfId="15269" xr:uid="{C18FB681-8017-4292-B7F0-C6CF7B60841C}"/>
    <cellStyle name="Normal 2 4 7 2 4 3 3" xfId="23716" xr:uid="{8474363A-75BE-4ED8-B1E9-10188E67FACE}"/>
    <cellStyle name="Normal 2 4 7 2 4 4" xfId="11052" xr:uid="{4ABDA2F2-9A40-4695-B3BA-0D7F0374DAA8}"/>
    <cellStyle name="Normal 2 4 7 2 4 5" xfId="19499" xr:uid="{C50CD680-ADB6-41E1-AC05-360AB2FEAC91}"/>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DFDDDBA0-5184-48E4-83FB-9ACBD7903C80}"/>
    <cellStyle name="Normal 2 4 7 2 5 2 2 3" xfId="26274" xr:uid="{5CF80B2B-F18B-404B-8703-A9330E1FD0A5}"/>
    <cellStyle name="Normal 2 4 7 2 5 2 3" xfId="13610" xr:uid="{98E78AAC-2594-49CB-A078-1812BD8DE1EF}"/>
    <cellStyle name="Normal 2 4 7 2 5 2 4" xfId="22057" xr:uid="{16C82B92-EE9C-43CE-88F7-F65BE6D181CE}"/>
    <cellStyle name="Normal 2 4 7 2 5 3" xfId="6356" xr:uid="{00000000-0005-0000-0000-0000E6100000}"/>
    <cellStyle name="Normal 2 4 7 2 5 3 2" xfId="15682" xr:uid="{9923EABD-DED1-4796-AB50-C00DBDDAEFAF}"/>
    <cellStyle name="Normal 2 4 7 2 5 3 3" xfId="24129" xr:uid="{15AD269E-DB54-469F-AAD3-45FC5AD79FF9}"/>
    <cellStyle name="Normal 2 4 7 2 5 4" xfId="11465" xr:uid="{4BF17061-D27C-45CB-90CA-820F1492175B}"/>
    <cellStyle name="Normal 2 4 7 2 5 5" xfId="19912" xr:uid="{C8A803F7-CE04-42AA-A13E-68BA52AA2796}"/>
    <cellStyle name="Normal 2 4 7 2 6" xfId="2486" xr:uid="{00000000-0005-0000-0000-0000E7100000}"/>
    <cellStyle name="Normal 2 4 7 2 6 2" xfId="6769" xr:uid="{00000000-0005-0000-0000-0000E8100000}"/>
    <cellStyle name="Normal 2 4 7 2 6 2 2" xfId="16095" xr:uid="{A81584E5-741C-41E4-8BDE-E87066E20D04}"/>
    <cellStyle name="Normal 2 4 7 2 6 2 3" xfId="24542" xr:uid="{FBA780CF-FE45-4A89-AF3B-C856822417C9}"/>
    <cellStyle name="Normal 2 4 7 2 6 3" xfId="11878" xr:uid="{4901256C-F72F-43C7-9779-947BF779570D}"/>
    <cellStyle name="Normal 2 4 7 2 6 4" xfId="20325" xr:uid="{B4E18724-72E4-4D70-A93E-BA70B03825E3}"/>
    <cellStyle name="Normal 2 4 7 2 7" xfId="4703" xr:uid="{00000000-0005-0000-0000-0000E9100000}"/>
    <cellStyle name="Normal 2 4 7 2 7 2" xfId="14029" xr:uid="{A41275F7-9F25-43DC-A258-4061F6209B13}"/>
    <cellStyle name="Normal 2 4 7 2 7 3" xfId="22476" xr:uid="{515D023F-6CD4-41AB-97B2-ED91C1348DAB}"/>
    <cellStyle name="Normal 2 4 7 2 8" xfId="9058" xr:uid="{FCEC438E-EF6A-4A00-BFE3-0DA309169A82}"/>
    <cellStyle name="Normal 2 4 7 2 9" xfId="9812" xr:uid="{BE63D55F-127E-4AD4-8BDE-7499449A48B4}"/>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2420F002-E972-4E88-8BC4-52EB7F6D3E43}"/>
    <cellStyle name="Normal 2 4 7 3 2 2 3" xfId="25034" xr:uid="{42ED73F1-EFD8-4EA8-A87B-6A487A0D0CE9}"/>
    <cellStyle name="Normal 2 4 7 3 2 3" xfId="12370" xr:uid="{09FAEA90-FE1B-4AD5-B93B-A6410DB989A4}"/>
    <cellStyle name="Normal 2 4 7 3 2 4" xfId="20817" xr:uid="{8BFFD59A-B60B-4E5E-85E3-DD63B0F24A7C}"/>
    <cellStyle name="Normal 2 4 7 3 3" xfId="5116" xr:uid="{00000000-0005-0000-0000-0000ED100000}"/>
    <cellStyle name="Normal 2 4 7 3 3 2" xfId="14442" xr:uid="{55D319E7-7A7D-4547-B8E7-7D7184EF266E}"/>
    <cellStyle name="Normal 2 4 7 3 3 3" xfId="22889" xr:uid="{41CCF8D0-28F3-466B-AD3F-94F50A344A06}"/>
    <cellStyle name="Normal 2 4 7 3 4" xfId="9276" xr:uid="{90A81E61-1719-41E4-8673-7681E805C2E0}"/>
    <cellStyle name="Normal 2 4 7 3 5" xfId="10225" xr:uid="{1F5F0149-02D1-48E2-AC76-02040F9B731F}"/>
    <cellStyle name="Normal 2 4 7 3 6" xfId="18672" xr:uid="{EAE18AAF-6DB5-4BA8-B59D-CA31D4012E58}"/>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30F95ABD-7EB4-4590-812D-4F546167BB76}"/>
    <cellStyle name="Normal 2 4 7 4 2 2 3" xfId="25447" xr:uid="{1563EEFB-DE89-4246-8746-C409FE65C73B}"/>
    <cellStyle name="Normal 2 4 7 4 2 3" xfId="12783" xr:uid="{28989FB1-1B3D-4EB8-8E40-9BB28B3C8AF7}"/>
    <cellStyle name="Normal 2 4 7 4 2 4" xfId="21230" xr:uid="{6905C86C-D425-48EC-A439-778BE9A56117}"/>
    <cellStyle name="Normal 2 4 7 4 3" xfId="5529" xr:uid="{00000000-0005-0000-0000-0000F1100000}"/>
    <cellStyle name="Normal 2 4 7 4 3 2" xfId="14855" xr:uid="{6B889171-18C3-40B3-8FA8-84C148C7C2F8}"/>
    <cellStyle name="Normal 2 4 7 4 3 3" xfId="23302" xr:uid="{6A30D314-924A-49B3-B56E-C63CD6A6EF26}"/>
    <cellStyle name="Normal 2 4 7 4 4" xfId="10638" xr:uid="{99696C26-6B1A-4D29-A323-C342A0F0A6C6}"/>
    <cellStyle name="Normal 2 4 7 4 5" xfId="19085" xr:uid="{72485B22-4C39-4292-8FB0-01915B70500A}"/>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AB702C18-BBB8-4AF2-9618-11D6412BC3B4}"/>
    <cellStyle name="Normal 2 4 7 5 2 2 3" xfId="25860" xr:uid="{016A0A0E-D190-4292-9475-CE72718B22D4}"/>
    <cellStyle name="Normal 2 4 7 5 2 3" xfId="13196" xr:uid="{6C9152C5-3121-48FC-B759-969FCD3C7B40}"/>
    <cellStyle name="Normal 2 4 7 5 2 4" xfId="21643" xr:uid="{2889C614-D0D3-4583-BDB5-6C2C1A86B135}"/>
    <cellStyle name="Normal 2 4 7 5 3" xfId="5942" xr:uid="{00000000-0005-0000-0000-0000F5100000}"/>
    <cellStyle name="Normal 2 4 7 5 3 2" xfId="15268" xr:uid="{02AE5876-84E8-4230-AE9A-45E43593FBEE}"/>
    <cellStyle name="Normal 2 4 7 5 3 3" xfId="23715" xr:uid="{FDC298E1-CED2-4F7F-8862-A07F79F32C7C}"/>
    <cellStyle name="Normal 2 4 7 5 4" xfId="11051" xr:uid="{EC865107-FA94-4037-9F30-754A230C72A1}"/>
    <cellStyle name="Normal 2 4 7 5 5" xfId="19498" xr:uid="{7FC8EAC4-6F96-49C4-8EBC-4C15CCFBF912}"/>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DFC23C8B-1535-40A6-AE98-7E071767DED8}"/>
    <cellStyle name="Normal 2 4 7 6 2 2 3" xfId="26273" xr:uid="{F216FF5F-F0EA-47DE-992A-ACE389EC05C7}"/>
    <cellStyle name="Normal 2 4 7 6 2 3" xfId="13609" xr:uid="{7E85B47F-4B42-4436-A0BA-02D1744D1A09}"/>
    <cellStyle name="Normal 2 4 7 6 2 4" xfId="22056" xr:uid="{B58A1FE5-F4F6-47E5-991D-EE429EE83C3A}"/>
    <cellStyle name="Normal 2 4 7 6 3" xfId="6355" xr:uid="{00000000-0005-0000-0000-0000F9100000}"/>
    <cellStyle name="Normal 2 4 7 6 3 2" xfId="15681" xr:uid="{219F631F-1C68-4113-973A-E21440586C56}"/>
    <cellStyle name="Normal 2 4 7 6 3 3" xfId="24128" xr:uid="{E52CFD8C-9C04-4ECD-AD0F-DB3D09BF6569}"/>
    <cellStyle name="Normal 2 4 7 6 4" xfId="11464" xr:uid="{AA94BEE7-8FF5-4753-91CE-392D6BD883DF}"/>
    <cellStyle name="Normal 2 4 7 6 5" xfId="19911" xr:uid="{FB9B2941-596E-46A3-A9A0-808D30CD46FF}"/>
    <cellStyle name="Normal 2 4 7 7" xfId="2485" xr:uid="{00000000-0005-0000-0000-0000FA100000}"/>
    <cellStyle name="Normal 2 4 7 7 2" xfId="6768" xr:uid="{00000000-0005-0000-0000-0000FB100000}"/>
    <cellStyle name="Normal 2 4 7 7 2 2" xfId="16094" xr:uid="{F9A67B1C-57A5-4C00-93F8-17B2E1AF0CEB}"/>
    <cellStyle name="Normal 2 4 7 7 2 3" xfId="24541" xr:uid="{E1DFB228-F98B-4C83-9399-3E9294974D19}"/>
    <cellStyle name="Normal 2 4 7 7 3" xfId="11877" xr:uid="{F6FDBF95-B2C6-406E-969B-66D685854E63}"/>
    <cellStyle name="Normal 2 4 7 7 4" xfId="20324" xr:uid="{DE7B94CD-777F-4BF3-B29A-B712876F04D5}"/>
    <cellStyle name="Normal 2 4 7 8" xfId="4702" xr:uid="{00000000-0005-0000-0000-0000FC100000}"/>
    <cellStyle name="Normal 2 4 7 8 2" xfId="14028" xr:uid="{7802A152-6143-4BEA-ABB7-89E4DBE9836F}"/>
    <cellStyle name="Normal 2 4 7 8 3" xfId="22475" xr:uid="{7E9CF6BD-63BD-46A1-8ECE-4F0BE5C3A301}"/>
    <cellStyle name="Normal 2 4 7 9" xfId="8851" xr:uid="{6946A6C1-9296-4D8F-B36F-8F7964FD7AC6}"/>
    <cellStyle name="Normal 2 4 8" xfId="314" xr:uid="{00000000-0005-0000-0000-0000FD100000}"/>
    <cellStyle name="Normal 2 4 8 10" xfId="18260" xr:uid="{F2693A6A-7CCE-4888-9CDE-4128D241F645}"/>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7BDE3579-E5E2-42CB-B7BC-F02E79EDF3A7}"/>
    <cellStyle name="Normal 2 4 8 2 2 2 3" xfId="25036" xr:uid="{6745C4D4-7081-4EC5-AC78-3CA6F0FE180A}"/>
    <cellStyle name="Normal 2 4 8 2 2 3" xfId="12372" xr:uid="{58B0B707-9490-45AB-8489-8604D82901A8}"/>
    <cellStyle name="Normal 2 4 8 2 2 4" xfId="20819" xr:uid="{4A4026EE-FA1C-4E93-8A0D-95D01ED58DD8}"/>
    <cellStyle name="Normal 2 4 8 2 3" xfId="5118" xr:uid="{00000000-0005-0000-0000-000001110000}"/>
    <cellStyle name="Normal 2 4 8 2 3 2" xfId="14444" xr:uid="{BA8BCBE3-4CBB-495E-BEFF-D3CB480A3B79}"/>
    <cellStyle name="Normal 2 4 8 2 3 3" xfId="22891" xr:uid="{61C77B31-0DE0-4E06-82F9-D2E51E9E5973}"/>
    <cellStyle name="Normal 2 4 8 2 4" xfId="9392" xr:uid="{812B973E-E5C9-43CD-85B0-C8CA30BD9BF3}"/>
    <cellStyle name="Normal 2 4 8 2 5" xfId="10227" xr:uid="{EB7BB29C-637C-4B32-9FF4-4CC78547688A}"/>
    <cellStyle name="Normal 2 4 8 2 6" xfId="18674" xr:uid="{DF8CC33F-6EA2-45A3-8524-85AC57952172}"/>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92023B9A-C2DD-461B-B028-17A79A612B3C}"/>
    <cellStyle name="Normal 2 4 8 3 2 2 3" xfId="25449" xr:uid="{F8D77E09-3514-49CA-83C7-4DB47077209D}"/>
    <cellStyle name="Normal 2 4 8 3 2 3" xfId="12785" xr:uid="{82C7B413-41CA-4F58-AE8C-98F33B23D077}"/>
    <cellStyle name="Normal 2 4 8 3 2 4" xfId="21232" xr:uid="{2FBE5446-9E17-46B3-8278-DC582493CD62}"/>
    <cellStyle name="Normal 2 4 8 3 3" xfId="5531" xr:uid="{00000000-0005-0000-0000-000005110000}"/>
    <cellStyle name="Normal 2 4 8 3 3 2" xfId="14857" xr:uid="{432EFB03-7B94-4589-87FB-013ED366789C}"/>
    <cellStyle name="Normal 2 4 8 3 3 3" xfId="23304" xr:uid="{F69B4748-4764-4DDC-AC4D-67B30C915CC2}"/>
    <cellStyle name="Normal 2 4 8 3 4" xfId="10640" xr:uid="{E473FE3F-A8FD-4D22-8FCC-897252AB1E7B}"/>
    <cellStyle name="Normal 2 4 8 3 5" xfId="19087" xr:uid="{3DF4B737-4625-4622-8FA0-1B28F91CAA3E}"/>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C32DA3B3-95AC-4744-9AD0-20C10582E292}"/>
    <cellStyle name="Normal 2 4 8 4 2 2 3" xfId="25862" xr:uid="{A9B75754-91FF-4A27-BE9D-F42408E585B5}"/>
    <cellStyle name="Normal 2 4 8 4 2 3" xfId="13198" xr:uid="{EF4653AC-558E-48BD-9169-BA98279266EB}"/>
    <cellStyle name="Normal 2 4 8 4 2 4" xfId="21645" xr:uid="{7639AFC7-0CB7-4D90-AD53-7825B208F19D}"/>
    <cellStyle name="Normal 2 4 8 4 3" xfId="5944" xr:uid="{00000000-0005-0000-0000-000009110000}"/>
    <cellStyle name="Normal 2 4 8 4 3 2" xfId="15270" xr:uid="{4DBFC493-2114-4F3F-B453-2FD14F3585CC}"/>
    <cellStyle name="Normal 2 4 8 4 3 3" xfId="23717" xr:uid="{8303808E-DEAD-42DF-8760-5FE0481BED7A}"/>
    <cellStyle name="Normal 2 4 8 4 4" xfId="11053" xr:uid="{5E2EA7B6-6CA9-490C-9642-CB3222A22698}"/>
    <cellStyle name="Normal 2 4 8 4 5" xfId="19500" xr:uid="{B99DED2C-1EC7-4AF8-BB5D-0C88E9FC089C}"/>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5999FF78-BBA7-4858-936A-4EDD544C7433}"/>
    <cellStyle name="Normal 2 4 8 5 2 2 3" xfId="26275" xr:uid="{995F4EE9-C19C-4B3F-92EA-C19006633C54}"/>
    <cellStyle name="Normal 2 4 8 5 2 3" xfId="13611" xr:uid="{C5B40CE4-2636-4D6E-9BF9-2A63A5BDE4C3}"/>
    <cellStyle name="Normal 2 4 8 5 2 4" xfId="22058" xr:uid="{45D5A4CA-C6A7-4864-B1AD-894C0CB34F12}"/>
    <cellStyle name="Normal 2 4 8 5 3" xfId="6357" xr:uid="{00000000-0005-0000-0000-00000D110000}"/>
    <cellStyle name="Normal 2 4 8 5 3 2" xfId="15683" xr:uid="{3E36E845-72EA-4359-AFC3-82377E9F0AE7}"/>
    <cellStyle name="Normal 2 4 8 5 3 3" xfId="24130" xr:uid="{E0DAE8D6-0ED3-4161-B932-380902EBF217}"/>
    <cellStyle name="Normal 2 4 8 5 4" xfId="11466" xr:uid="{D5DBC46B-720B-476D-908E-064EEA29B248}"/>
    <cellStyle name="Normal 2 4 8 5 5" xfId="19913" xr:uid="{797A7004-027D-4FF1-859D-8D286CB40350}"/>
    <cellStyle name="Normal 2 4 8 6" xfId="2487" xr:uid="{00000000-0005-0000-0000-00000E110000}"/>
    <cellStyle name="Normal 2 4 8 6 2" xfId="6770" xr:uid="{00000000-0005-0000-0000-00000F110000}"/>
    <cellStyle name="Normal 2 4 8 6 2 2" xfId="16096" xr:uid="{9A087211-100E-4EF5-B4A8-EAD7F1B5E032}"/>
    <cellStyle name="Normal 2 4 8 6 2 3" xfId="24543" xr:uid="{70BC78C4-3636-47D4-AB33-55D6508D80B7}"/>
    <cellStyle name="Normal 2 4 8 6 3" xfId="11879" xr:uid="{725E44FE-FEF7-417C-B783-6166050BA710}"/>
    <cellStyle name="Normal 2 4 8 6 4" xfId="20326" xr:uid="{904E91BD-7F02-4B8D-AEAD-53DD92E1B74A}"/>
    <cellStyle name="Normal 2 4 8 7" xfId="4704" xr:uid="{00000000-0005-0000-0000-000010110000}"/>
    <cellStyle name="Normal 2 4 8 7 2" xfId="14030" xr:uid="{796BBA1B-F8FD-4114-8195-E607213C3806}"/>
    <cellStyle name="Normal 2 4 8 7 3" xfId="22477" xr:uid="{F2261012-2325-4CF8-A3C6-4F930869863E}"/>
    <cellStyle name="Normal 2 4 8 8" xfId="8967" xr:uid="{32AC97CD-D3FD-4AE1-A8B2-07BEA9D5DE52}"/>
    <cellStyle name="Normal 2 4 8 9" xfId="9813" xr:uid="{7C292B8D-0BD3-42C6-925C-E36458F1F83F}"/>
    <cellStyle name="Normal 2 4 9" xfId="9170" xr:uid="{5569C060-E090-4551-A44D-517EC3FD1834}"/>
    <cellStyle name="Normal 2 5" xfId="315" xr:uid="{00000000-0005-0000-0000-000011110000}"/>
    <cellStyle name="Normal 2 5 10" xfId="4705" xr:uid="{00000000-0005-0000-0000-000012110000}"/>
    <cellStyle name="Normal 2 5 10 2" xfId="14031" xr:uid="{43E8FE72-47FD-4532-9E8D-16A7DC13B376}"/>
    <cellStyle name="Normal 2 5 10 3" xfId="22478" xr:uid="{EBD40442-DB50-405A-B14A-455486916263}"/>
    <cellStyle name="Normal 2 5 11" xfId="9814" xr:uid="{14382492-038D-4A2A-8F05-92F60CB20F17}"/>
    <cellStyle name="Normal 2 5 12" xfId="18261" xr:uid="{BD860724-FBE8-4C9A-B127-AAEB66F4DAA9}"/>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1" xfId="9815" xr:uid="{15B3B704-10A5-46CA-874F-A11B27B64D6D}"/>
    <cellStyle name="Normal 2 5 4 12" xfId="18262" xr:uid="{06235054-6F63-4C68-96A7-7E47C3AE147B}"/>
    <cellStyle name="Normal 2 5 4 2" xfId="319" xr:uid="{00000000-0005-0000-0000-000016110000}"/>
    <cellStyle name="Normal 2 5 4 2 10" xfId="9816" xr:uid="{BC9A7739-A867-4694-82DD-C24774CB03BF}"/>
    <cellStyle name="Normal 2 5 4 2 11" xfId="18263" xr:uid="{3F6ACDC8-62B6-4232-8143-6B91A5DFFAA4}"/>
    <cellStyle name="Normal 2 5 4 2 2" xfId="320" xr:uid="{00000000-0005-0000-0000-000017110000}"/>
    <cellStyle name="Normal 2 5 4 2 2 10" xfId="18264" xr:uid="{A1BE5A3D-7C13-47BA-9AA7-85DDCFE0AA9B}"/>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D23ACE67-5A23-4173-9C18-974608B2F957}"/>
    <cellStyle name="Normal 2 5 4 2 2 2 2 2 3" xfId="25040" xr:uid="{0015B019-E5B4-47B7-86DC-B2BC12AC6DA7}"/>
    <cellStyle name="Normal 2 5 4 2 2 2 2 3" xfId="12376" xr:uid="{463D712F-DFF4-44D5-ADCA-D1193C27645E}"/>
    <cellStyle name="Normal 2 5 4 2 2 2 2 4" xfId="20823" xr:uid="{09DFD9D2-B5D0-4644-835A-F30B1C84F33B}"/>
    <cellStyle name="Normal 2 5 4 2 2 2 3" xfId="5122" xr:uid="{00000000-0005-0000-0000-00001B110000}"/>
    <cellStyle name="Normal 2 5 4 2 2 2 3 2" xfId="14448" xr:uid="{8E1EAE9F-E17D-4B52-BD1B-CF2CA049B344}"/>
    <cellStyle name="Normal 2 5 4 2 2 2 3 3" xfId="22895" xr:uid="{C340A318-A0B6-4B24-BAB0-A370A5A8FED7}"/>
    <cellStyle name="Normal 2 5 4 2 2 2 4" xfId="9551" xr:uid="{392D7741-6781-4EA5-9C28-040053C1B05B}"/>
    <cellStyle name="Normal 2 5 4 2 2 2 5" xfId="10231" xr:uid="{76757861-38AC-40BF-B328-CCCA39607871}"/>
    <cellStyle name="Normal 2 5 4 2 2 2 6" xfId="18678" xr:uid="{1B47443B-999F-40BA-9282-B77B2606F3B9}"/>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CA9B29B6-D894-4645-9031-3B7D9DEF1810}"/>
    <cellStyle name="Normal 2 5 4 2 2 3 2 2 3" xfId="25453" xr:uid="{0B94662F-C504-43D9-8E03-A7CD625AC505}"/>
    <cellStyle name="Normal 2 5 4 2 2 3 2 3" xfId="12789" xr:uid="{17520523-EB92-4323-A04E-1A3202A11F7B}"/>
    <cellStyle name="Normal 2 5 4 2 2 3 2 4" xfId="21236" xr:uid="{6686729B-55F4-459A-9BD5-0FCFB6D91CF0}"/>
    <cellStyle name="Normal 2 5 4 2 2 3 3" xfId="5535" xr:uid="{00000000-0005-0000-0000-00001F110000}"/>
    <cellStyle name="Normal 2 5 4 2 2 3 3 2" xfId="14861" xr:uid="{B08CD065-969C-4C57-A548-011D16E22824}"/>
    <cellStyle name="Normal 2 5 4 2 2 3 3 3" xfId="23308" xr:uid="{882517BD-3572-4D67-9771-F4DDC6C7487B}"/>
    <cellStyle name="Normal 2 5 4 2 2 3 4" xfId="10644" xr:uid="{BC6C6C46-CED3-4423-8617-4907B0E5658F}"/>
    <cellStyle name="Normal 2 5 4 2 2 3 5" xfId="19091" xr:uid="{5D2D7217-F4A4-4C29-BAD3-A734CA3B524A}"/>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D97F9A97-C597-417A-9B44-913EC4B20C8A}"/>
    <cellStyle name="Normal 2 5 4 2 2 4 2 2 3" xfId="25866" xr:uid="{198DF2BF-306C-4EBF-9532-EF9E240C1391}"/>
    <cellStyle name="Normal 2 5 4 2 2 4 2 3" xfId="13202" xr:uid="{29B466B1-CCD0-43C9-9437-1FB51672BE90}"/>
    <cellStyle name="Normal 2 5 4 2 2 4 2 4" xfId="21649" xr:uid="{D1E97490-38FB-4E5F-A380-654D93153EDC}"/>
    <cellStyle name="Normal 2 5 4 2 2 4 3" xfId="5948" xr:uid="{00000000-0005-0000-0000-000023110000}"/>
    <cellStyle name="Normal 2 5 4 2 2 4 3 2" xfId="15274" xr:uid="{0DCE52B7-F6A7-4CA3-8034-3F6A63616A1C}"/>
    <cellStyle name="Normal 2 5 4 2 2 4 3 3" xfId="23721" xr:uid="{32789B6A-5F94-4C18-A0F1-AB6BDC383947}"/>
    <cellStyle name="Normal 2 5 4 2 2 4 4" xfId="11057" xr:uid="{5D7CDF18-8263-4D84-B411-A324959BDB61}"/>
    <cellStyle name="Normal 2 5 4 2 2 4 5" xfId="19504" xr:uid="{34880723-8C6F-4863-9F42-C59D69EDC9F7}"/>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79E77962-2EBA-4E6B-95C5-AF2E489EDDBC}"/>
    <cellStyle name="Normal 2 5 4 2 2 5 2 2 3" xfId="26279" xr:uid="{265A1CBC-021C-465B-B522-7EBE6FBB8D7A}"/>
    <cellStyle name="Normal 2 5 4 2 2 5 2 3" xfId="13615" xr:uid="{F0C3D59A-8DD8-4031-99F8-7A041AA70E1A}"/>
    <cellStyle name="Normal 2 5 4 2 2 5 2 4" xfId="22062" xr:uid="{1BC1DDAD-8FC0-45EF-A0D7-96E638E740D6}"/>
    <cellStyle name="Normal 2 5 4 2 2 5 3" xfId="6361" xr:uid="{00000000-0005-0000-0000-000027110000}"/>
    <cellStyle name="Normal 2 5 4 2 2 5 3 2" xfId="15687" xr:uid="{DF38FE6A-9035-470B-9371-A4AFF2147513}"/>
    <cellStyle name="Normal 2 5 4 2 2 5 3 3" xfId="24134" xr:uid="{9527EE2C-B492-4E67-AFBD-52D03C10F2E9}"/>
    <cellStyle name="Normal 2 5 4 2 2 5 4" xfId="11470" xr:uid="{EEE639C3-1B92-4C1C-80E4-88CA57B3BEDC}"/>
    <cellStyle name="Normal 2 5 4 2 2 5 5" xfId="19917" xr:uid="{B5CC61AE-6D0A-4F3B-AD3C-414360CF7C57}"/>
    <cellStyle name="Normal 2 5 4 2 2 6" xfId="2491" xr:uid="{00000000-0005-0000-0000-000028110000}"/>
    <cellStyle name="Normal 2 5 4 2 2 6 2" xfId="6774" xr:uid="{00000000-0005-0000-0000-000029110000}"/>
    <cellStyle name="Normal 2 5 4 2 2 6 2 2" xfId="16100" xr:uid="{2715D063-F455-450E-8A4D-6BB9F7AE17FA}"/>
    <cellStyle name="Normal 2 5 4 2 2 6 2 3" xfId="24547" xr:uid="{324DAAEB-3C47-445E-98C5-09203C6FA871}"/>
    <cellStyle name="Normal 2 5 4 2 2 6 3" xfId="11883" xr:uid="{4D92BDE6-44E4-4F2B-9D48-E630FBE0E473}"/>
    <cellStyle name="Normal 2 5 4 2 2 6 4" xfId="20330" xr:uid="{E5FC779C-54D5-4D49-B847-94B8B67EFD05}"/>
    <cellStyle name="Normal 2 5 4 2 2 7" xfId="4708" xr:uid="{00000000-0005-0000-0000-00002A110000}"/>
    <cellStyle name="Normal 2 5 4 2 2 7 2" xfId="14034" xr:uid="{8CFEECCB-61D5-4D78-880D-5BD63A473562}"/>
    <cellStyle name="Normal 2 5 4 2 2 7 3" xfId="22481" xr:uid="{28FD0BB7-5F0C-46E9-AF10-FF711D90FDCD}"/>
    <cellStyle name="Normal 2 5 4 2 2 8" xfId="9126" xr:uid="{C2CF4AFD-4082-4555-941B-6E9759C32D63}"/>
    <cellStyle name="Normal 2 5 4 2 2 9" xfId="9817" xr:uid="{6317CD83-DE6F-4B25-B945-4E225A645E4D}"/>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162F12DC-6284-4B46-91D3-29744864C896}"/>
    <cellStyle name="Normal 2 5 4 2 3 2 2 3" xfId="25039" xr:uid="{57F4437D-97BC-4F2F-9BA3-A12AD1649462}"/>
    <cellStyle name="Normal 2 5 4 2 3 2 3" xfId="12375" xr:uid="{A8142FA0-EDF4-4705-99F7-00AE3D6C5691}"/>
    <cellStyle name="Normal 2 5 4 2 3 2 4" xfId="20822" xr:uid="{F68BC827-EABC-49A1-A9C6-A85A43ECA571}"/>
    <cellStyle name="Normal 2 5 4 2 3 3" xfId="5121" xr:uid="{00000000-0005-0000-0000-00002E110000}"/>
    <cellStyle name="Normal 2 5 4 2 3 3 2" xfId="14447" xr:uid="{231AE38E-C3ED-4D8D-90F8-A47AC1C978D8}"/>
    <cellStyle name="Normal 2 5 4 2 3 3 3" xfId="22894" xr:uid="{282E0530-C405-4E57-99E6-666C8F715B52}"/>
    <cellStyle name="Normal 2 5 4 2 3 4" xfId="9344" xr:uid="{207B8A34-09D9-4349-A9C7-5A5A998C6B6F}"/>
    <cellStyle name="Normal 2 5 4 2 3 5" xfId="10230" xr:uid="{4B6B10DF-28C9-4A75-B884-FF98D833D2B5}"/>
    <cellStyle name="Normal 2 5 4 2 3 6" xfId="18677" xr:uid="{AD7E0ED0-360C-47E4-95E5-76A39450B745}"/>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01EA82C7-65D0-4861-91F4-0625B643A023}"/>
    <cellStyle name="Normal 2 5 4 2 4 2 2 3" xfId="25452" xr:uid="{643B7B9A-2FCE-4292-94A3-1D759ACF3095}"/>
    <cellStyle name="Normal 2 5 4 2 4 2 3" xfId="12788" xr:uid="{67461DA3-FE4B-4B56-ABB4-F40728B7FF2B}"/>
    <cellStyle name="Normal 2 5 4 2 4 2 4" xfId="21235" xr:uid="{F16BA28A-DD63-4743-8A3A-1A35B3C4D911}"/>
    <cellStyle name="Normal 2 5 4 2 4 3" xfId="5534" xr:uid="{00000000-0005-0000-0000-000032110000}"/>
    <cellStyle name="Normal 2 5 4 2 4 3 2" xfId="14860" xr:uid="{EE0CB720-FF07-4DBF-9133-97EE9F969A69}"/>
    <cellStyle name="Normal 2 5 4 2 4 3 3" xfId="23307" xr:uid="{B3AA1A5B-9DAD-4861-87B0-78A29E610A99}"/>
    <cellStyle name="Normal 2 5 4 2 4 4" xfId="10643" xr:uid="{30E7A21C-F615-4E9C-8320-2ACC4CEDF0B0}"/>
    <cellStyle name="Normal 2 5 4 2 4 5" xfId="19090" xr:uid="{BD9CAB9C-80B8-4234-B4DD-9951FAC281F8}"/>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5A695BB9-73B8-41DE-A596-473BAA314B39}"/>
    <cellStyle name="Normal 2 5 4 2 5 2 2 3" xfId="25865" xr:uid="{16AA9A04-2D65-4958-B173-575AB1D02F2F}"/>
    <cellStyle name="Normal 2 5 4 2 5 2 3" xfId="13201" xr:uid="{3005349B-482E-445B-99CD-6A4F1B2DE4A5}"/>
    <cellStyle name="Normal 2 5 4 2 5 2 4" xfId="21648" xr:uid="{7E6FE646-1987-4959-AEFF-1807FD91A10E}"/>
    <cellStyle name="Normal 2 5 4 2 5 3" xfId="5947" xr:uid="{00000000-0005-0000-0000-000036110000}"/>
    <cellStyle name="Normal 2 5 4 2 5 3 2" xfId="15273" xr:uid="{B9AFCE64-D96B-4F12-85CD-37B73F2BC437}"/>
    <cellStyle name="Normal 2 5 4 2 5 3 3" xfId="23720" xr:uid="{B3B89FE8-E7F5-47DB-BDC0-0D5C801E8FC5}"/>
    <cellStyle name="Normal 2 5 4 2 5 4" xfId="11056" xr:uid="{B6256332-DCD3-46FD-B804-35A4F8EE7D4A}"/>
    <cellStyle name="Normal 2 5 4 2 5 5" xfId="19503" xr:uid="{5A6A17E3-70D9-4D8C-9015-16786B6ED4C3}"/>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16C946B7-57AA-4492-9682-71E910993300}"/>
    <cellStyle name="Normal 2 5 4 2 6 2 2 3" xfId="26278" xr:uid="{8851D74D-4E21-44C3-A03C-BF37010131E1}"/>
    <cellStyle name="Normal 2 5 4 2 6 2 3" xfId="13614" xr:uid="{47AE01A9-D737-41D8-9818-E3E1D78FBF54}"/>
    <cellStyle name="Normal 2 5 4 2 6 2 4" xfId="22061" xr:uid="{62F300C8-1264-4071-A5FA-9669D769A589}"/>
    <cellStyle name="Normal 2 5 4 2 6 3" xfId="6360" xr:uid="{00000000-0005-0000-0000-00003A110000}"/>
    <cellStyle name="Normal 2 5 4 2 6 3 2" xfId="15686" xr:uid="{83FB0481-E321-4550-93DB-4B356EAF8B8B}"/>
    <cellStyle name="Normal 2 5 4 2 6 3 3" xfId="24133" xr:uid="{F3E1F1C2-0786-46C7-A86E-C3B04A612B54}"/>
    <cellStyle name="Normal 2 5 4 2 6 4" xfId="11469" xr:uid="{65D09CA7-DAE8-4737-ACC9-8047213485C6}"/>
    <cellStyle name="Normal 2 5 4 2 6 5" xfId="19916" xr:uid="{47790463-BE80-4115-A2BE-80B701EE2A43}"/>
    <cellStyle name="Normal 2 5 4 2 7" xfId="2490" xr:uid="{00000000-0005-0000-0000-00003B110000}"/>
    <cellStyle name="Normal 2 5 4 2 7 2" xfId="6773" xr:uid="{00000000-0005-0000-0000-00003C110000}"/>
    <cellStyle name="Normal 2 5 4 2 7 2 2" xfId="16099" xr:uid="{0DEE08EA-EE02-4AFB-A396-07D3201C2431}"/>
    <cellStyle name="Normal 2 5 4 2 7 2 3" xfId="24546" xr:uid="{D3DD9835-2D92-44AA-9D90-68F8A02A5973}"/>
    <cellStyle name="Normal 2 5 4 2 7 3" xfId="11882" xr:uid="{A459D85D-0703-4BC0-A4CE-B919038962BB}"/>
    <cellStyle name="Normal 2 5 4 2 7 4" xfId="20329" xr:uid="{BED1CEC8-FBEB-4B5E-9357-EFAD351F8F1D}"/>
    <cellStyle name="Normal 2 5 4 2 8" xfId="4707" xr:uid="{00000000-0005-0000-0000-00003D110000}"/>
    <cellStyle name="Normal 2 5 4 2 8 2" xfId="14033" xr:uid="{20D97109-44A9-4284-81C6-927CBCF228F2}"/>
    <cellStyle name="Normal 2 5 4 2 8 3" xfId="22480" xr:uid="{E43B37DF-FDDC-421B-BDC6-1DDFC7DAC21C}"/>
    <cellStyle name="Normal 2 5 4 2 9" xfId="8919" xr:uid="{2A8C96F6-0F22-4271-BCA3-7E5B2E35A54F}"/>
    <cellStyle name="Normal 2 5 4 3" xfId="321" xr:uid="{00000000-0005-0000-0000-00003E110000}"/>
    <cellStyle name="Normal 2 5 4 3 10" xfId="18265" xr:uid="{1FBB2D68-D658-4FE8-B96D-FF9BB1B8E671}"/>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67567337-BB44-46F1-88BC-E9FB65954AB9}"/>
    <cellStyle name="Normal 2 5 4 3 2 2 2 3" xfId="25041" xr:uid="{CD5DB435-2B36-4B89-88ED-E2561CB655F2}"/>
    <cellStyle name="Normal 2 5 4 3 2 2 3" xfId="12377" xr:uid="{66A7C287-7DAC-4338-9BDF-8CD6150C27CE}"/>
    <cellStyle name="Normal 2 5 4 3 2 2 4" xfId="20824" xr:uid="{1335B598-3EC5-415B-A0A8-0EBC4DB412F1}"/>
    <cellStyle name="Normal 2 5 4 3 2 3" xfId="5123" xr:uid="{00000000-0005-0000-0000-000042110000}"/>
    <cellStyle name="Normal 2 5 4 3 2 3 2" xfId="14449" xr:uid="{89D19C89-C206-42E5-ADAF-436881BB66F7}"/>
    <cellStyle name="Normal 2 5 4 3 2 3 3" xfId="22896" xr:uid="{D44F5D51-9A5A-480F-BF20-0EBCB1397AA2}"/>
    <cellStyle name="Normal 2 5 4 3 2 4" xfId="9448" xr:uid="{0C1738F2-697E-4430-8A3F-E67747B3EDB0}"/>
    <cellStyle name="Normal 2 5 4 3 2 5" xfId="10232" xr:uid="{017B7155-3646-4DC5-A6C0-1761D8768834}"/>
    <cellStyle name="Normal 2 5 4 3 2 6" xfId="18679" xr:uid="{05EE771A-A51D-477B-B78E-CA11D9F39EE7}"/>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0F320968-6A2D-46A8-B414-02872AA66235}"/>
    <cellStyle name="Normal 2 5 4 3 3 2 2 3" xfId="25454" xr:uid="{304A7AFC-C377-407D-8BFE-A3F8DBFCB921}"/>
    <cellStyle name="Normal 2 5 4 3 3 2 3" xfId="12790" xr:uid="{1C0A30FD-FD98-4024-8E92-58507777F5E0}"/>
    <cellStyle name="Normal 2 5 4 3 3 2 4" xfId="21237" xr:uid="{647DA905-0512-4625-975E-9D7CF5D25431}"/>
    <cellStyle name="Normal 2 5 4 3 3 3" xfId="5536" xr:uid="{00000000-0005-0000-0000-000046110000}"/>
    <cellStyle name="Normal 2 5 4 3 3 3 2" xfId="14862" xr:uid="{E09B692B-1683-406E-ADDB-03E573904387}"/>
    <cellStyle name="Normal 2 5 4 3 3 3 3" xfId="23309" xr:uid="{54E7F684-DFF5-4D54-8680-14A95687A544}"/>
    <cellStyle name="Normal 2 5 4 3 3 4" xfId="10645" xr:uid="{F49D405C-DE71-48CD-9507-12AAF238CAB7}"/>
    <cellStyle name="Normal 2 5 4 3 3 5" xfId="19092" xr:uid="{0439045D-AFDD-4022-AD98-BE9F5D64F03D}"/>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4F93EAB6-1086-42E5-AFD3-6F9C1BA0003F}"/>
    <cellStyle name="Normal 2 5 4 3 4 2 2 3" xfId="25867" xr:uid="{36607BE5-DCFD-4448-9C8C-CB9B9DAD0168}"/>
    <cellStyle name="Normal 2 5 4 3 4 2 3" xfId="13203" xr:uid="{4FD9B4CA-A652-4670-8495-1E88BD86E768}"/>
    <cellStyle name="Normal 2 5 4 3 4 2 4" xfId="21650" xr:uid="{121971C2-4F35-46D1-9BA3-10E77B575D0F}"/>
    <cellStyle name="Normal 2 5 4 3 4 3" xfId="5949" xr:uid="{00000000-0005-0000-0000-00004A110000}"/>
    <cellStyle name="Normal 2 5 4 3 4 3 2" xfId="15275" xr:uid="{4E2129FD-A587-49C7-8AA0-345474864093}"/>
    <cellStyle name="Normal 2 5 4 3 4 3 3" xfId="23722" xr:uid="{347BF627-CFAE-4399-90EE-78FDE7A15968}"/>
    <cellStyle name="Normal 2 5 4 3 4 4" xfId="11058" xr:uid="{9310E6D4-DD15-4193-8586-177A9656C4B5}"/>
    <cellStyle name="Normal 2 5 4 3 4 5" xfId="19505" xr:uid="{F0C5FD41-D160-4094-9945-D0F1F4773294}"/>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7AA6801B-BBC2-45EB-B3D7-45F757AB9228}"/>
    <cellStyle name="Normal 2 5 4 3 5 2 2 3" xfId="26280" xr:uid="{7E48AB3B-530E-488A-B8ED-4962EC52BE99}"/>
    <cellStyle name="Normal 2 5 4 3 5 2 3" xfId="13616" xr:uid="{8E713869-2BA4-429F-9F49-847D36D38197}"/>
    <cellStyle name="Normal 2 5 4 3 5 2 4" xfId="22063" xr:uid="{24CC1B24-D239-481E-B512-EBCF0889F6CE}"/>
    <cellStyle name="Normal 2 5 4 3 5 3" xfId="6362" xr:uid="{00000000-0005-0000-0000-00004E110000}"/>
    <cellStyle name="Normal 2 5 4 3 5 3 2" xfId="15688" xr:uid="{45DAD486-B833-4C55-9462-9755174042F2}"/>
    <cellStyle name="Normal 2 5 4 3 5 3 3" xfId="24135" xr:uid="{0D7F4251-4CC6-4182-AFAA-4278028F74FE}"/>
    <cellStyle name="Normal 2 5 4 3 5 4" xfId="11471" xr:uid="{0EACEA75-8697-4469-BFFE-C23B648F4A32}"/>
    <cellStyle name="Normal 2 5 4 3 5 5" xfId="19918" xr:uid="{19810E14-FE7F-4F95-92A5-EF93BFC9B52C}"/>
    <cellStyle name="Normal 2 5 4 3 6" xfId="2492" xr:uid="{00000000-0005-0000-0000-00004F110000}"/>
    <cellStyle name="Normal 2 5 4 3 6 2" xfId="6775" xr:uid="{00000000-0005-0000-0000-000050110000}"/>
    <cellStyle name="Normal 2 5 4 3 6 2 2" xfId="16101" xr:uid="{C5F3D119-6838-4D9A-B1FC-AA23AA8FA2BE}"/>
    <cellStyle name="Normal 2 5 4 3 6 2 3" xfId="24548" xr:uid="{4D0D1539-D146-42A0-BB10-6ADFE389A9CE}"/>
    <cellStyle name="Normal 2 5 4 3 6 3" xfId="11884" xr:uid="{44D93530-6B14-4761-8B73-7EA3B5269EC0}"/>
    <cellStyle name="Normal 2 5 4 3 6 4" xfId="20331" xr:uid="{05FBCB70-BE8E-4F82-8767-E20CD36BC575}"/>
    <cellStyle name="Normal 2 5 4 3 7" xfId="4709" xr:uid="{00000000-0005-0000-0000-000051110000}"/>
    <cellStyle name="Normal 2 5 4 3 7 2" xfId="14035" xr:uid="{6B10A131-7696-4254-9F7A-89A09FA56B07}"/>
    <cellStyle name="Normal 2 5 4 3 7 3" xfId="22482" xr:uid="{15B4E798-B549-490D-B0B1-87D81BA2AE3E}"/>
    <cellStyle name="Normal 2 5 4 3 8" xfId="9023" xr:uid="{9B869639-3DD4-4511-AD70-D5125D34938F}"/>
    <cellStyle name="Normal 2 5 4 3 9" xfId="9818" xr:uid="{A2813E65-EC28-4BD9-A99C-65EA7E90249A}"/>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866989DC-FDF0-4014-85EF-E025E53EEA0B}"/>
    <cellStyle name="Normal 2 5 4 4 2 2 3" xfId="25038" xr:uid="{8399CA12-6146-4039-90AF-4FEE4DE06165}"/>
    <cellStyle name="Normal 2 5 4 4 2 3" xfId="12374" xr:uid="{3C7CF486-A1F3-44EC-85CE-D59B09045F31}"/>
    <cellStyle name="Normal 2 5 4 4 2 4" xfId="20821" xr:uid="{6C6FC7BF-034B-447A-A11D-0E53B4F3ADDA}"/>
    <cellStyle name="Normal 2 5 4 4 3" xfId="5120" xr:uid="{00000000-0005-0000-0000-000055110000}"/>
    <cellStyle name="Normal 2 5 4 4 3 2" xfId="14446" xr:uid="{AB54755B-02AB-44B7-A9ED-FE469B79FCCF}"/>
    <cellStyle name="Normal 2 5 4 4 3 3" xfId="22893" xr:uid="{9C0A4D36-F1BE-48F1-9E80-D01E3C493413}"/>
    <cellStyle name="Normal 2 5 4 4 4" xfId="9241" xr:uid="{2BD2F05F-E4C9-46B4-B3C9-F0D081C1F38F}"/>
    <cellStyle name="Normal 2 5 4 4 5" xfId="10229" xr:uid="{8C045DE8-A7D0-4CDD-81CB-07BCFBCBB1C2}"/>
    <cellStyle name="Normal 2 5 4 4 6" xfId="18676" xr:uid="{D663460C-FA94-477E-8185-0E23D5EBF9C2}"/>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02AE5FC4-8CCD-450E-A549-4BEB63F44169}"/>
    <cellStyle name="Normal 2 5 4 5 2 2 3" xfId="25451" xr:uid="{002A31EC-95C6-43F6-8FEC-0150D9A63E50}"/>
    <cellStyle name="Normal 2 5 4 5 2 3" xfId="12787" xr:uid="{71EAFEB8-D371-4DDC-85F4-B1AAE98257FA}"/>
    <cellStyle name="Normal 2 5 4 5 2 4" xfId="21234" xr:uid="{C3670CED-58C3-41BC-A58F-2E8F9D59D449}"/>
    <cellStyle name="Normal 2 5 4 5 3" xfId="5533" xr:uid="{00000000-0005-0000-0000-000059110000}"/>
    <cellStyle name="Normal 2 5 4 5 3 2" xfId="14859" xr:uid="{C25107BC-C17B-4921-8510-9329C06E4082}"/>
    <cellStyle name="Normal 2 5 4 5 3 3" xfId="23306" xr:uid="{01F42448-196F-495E-AA19-0770FB894AF7}"/>
    <cellStyle name="Normal 2 5 4 5 4" xfId="10642" xr:uid="{A18C207D-2A5D-4E7D-BC93-AA13EB4BD6E0}"/>
    <cellStyle name="Normal 2 5 4 5 5" xfId="19089" xr:uid="{C5696220-1BF9-4F9B-BF1C-56B47F6C789D}"/>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5F845892-479E-43BE-869F-4FEF8C12C32E}"/>
    <cellStyle name="Normal 2 5 4 6 2 2 3" xfId="25864" xr:uid="{37F46FA5-DC3A-4A46-869E-2AFF86923140}"/>
    <cellStyle name="Normal 2 5 4 6 2 3" xfId="13200" xr:uid="{B18BF729-42FF-4FF1-AFBA-9DE9DDB6E350}"/>
    <cellStyle name="Normal 2 5 4 6 2 4" xfId="21647" xr:uid="{16B3BAEF-3E61-4F83-9A55-3C930BC3DE3A}"/>
    <cellStyle name="Normal 2 5 4 6 3" xfId="5946" xr:uid="{00000000-0005-0000-0000-00005D110000}"/>
    <cellStyle name="Normal 2 5 4 6 3 2" xfId="15272" xr:uid="{221FA5FC-09A3-4AC2-97F0-448A6D190580}"/>
    <cellStyle name="Normal 2 5 4 6 3 3" xfId="23719" xr:uid="{FA4E5B2C-FE1A-44D4-8180-A61075C60706}"/>
    <cellStyle name="Normal 2 5 4 6 4" xfId="11055" xr:uid="{F92CBFDE-D964-4DAE-B98C-556552ED1824}"/>
    <cellStyle name="Normal 2 5 4 6 5" xfId="19502" xr:uid="{4D52F6E3-F173-4069-AE3A-342019E81807}"/>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2953A544-F68F-425D-852A-735854FDB3B9}"/>
    <cellStyle name="Normal 2 5 4 7 2 2 3" xfId="26277" xr:uid="{E39ED176-70A4-47E1-83DB-EF2AEA2049A5}"/>
    <cellStyle name="Normal 2 5 4 7 2 3" xfId="13613" xr:uid="{33870880-C4F0-406E-B45E-5398FA5BEE43}"/>
    <cellStyle name="Normal 2 5 4 7 2 4" xfId="22060" xr:uid="{2A0C0180-1D1A-4B8E-9D03-ECF4F8913F3D}"/>
    <cellStyle name="Normal 2 5 4 7 3" xfId="6359" xr:uid="{00000000-0005-0000-0000-000061110000}"/>
    <cellStyle name="Normal 2 5 4 7 3 2" xfId="15685" xr:uid="{6FF93E8A-E663-4BC5-9C66-B4A35169EBA6}"/>
    <cellStyle name="Normal 2 5 4 7 3 3" xfId="24132" xr:uid="{8AD549C7-B53E-485A-BDB5-7C283AB2BDCC}"/>
    <cellStyle name="Normal 2 5 4 7 4" xfId="11468" xr:uid="{CAD4ABA0-3431-44CF-AE16-2DAADFA96533}"/>
    <cellStyle name="Normal 2 5 4 7 5" xfId="19915" xr:uid="{FE103293-C1BA-41A3-8C25-EEC8BBF17308}"/>
    <cellStyle name="Normal 2 5 4 8" xfId="2489" xr:uid="{00000000-0005-0000-0000-000062110000}"/>
    <cellStyle name="Normal 2 5 4 8 2" xfId="6772" xr:uid="{00000000-0005-0000-0000-000063110000}"/>
    <cellStyle name="Normal 2 5 4 8 2 2" xfId="16098" xr:uid="{5835A632-21A1-4BD2-8C30-9C2B42102213}"/>
    <cellStyle name="Normal 2 5 4 8 2 3" xfId="24545" xr:uid="{4FFA012E-6DDE-43DD-81A8-695392A1ACEA}"/>
    <cellStyle name="Normal 2 5 4 8 3" xfId="11881" xr:uid="{EA40E9FD-3470-40B6-AA33-669593D3697F}"/>
    <cellStyle name="Normal 2 5 4 8 4" xfId="20328" xr:uid="{46CD0EB7-9E57-4BF1-96A6-67C45DFDFD3D}"/>
    <cellStyle name="Normal 2 5 4 9" xfId="4706" xr:uid="{00000000-0005-0000-0000-000064110000}"/>
    <cellStyle name="Normal 2 5 4 9 2" xfId="14032" xr:uid="{FCB78965-2CB3-426B-A240-A63C9955CF40}"/>
    <cellStyle name="Normal 2 5 4 9 3" xfId="22479" xr:uid="{1404B166-22E3-4CF2-AC4A-3BB7A226DBB3}"/>
    <cellStyle name="Normal 2 5 5" xfId="803" xr:uid="{00000000-0005-0000-0000-000065110000}"/>
    <cellStyle name="Normal 2 5 5 2" xfId="3042" xr:uid="{00000000-0005-0000-0000-000066110000}"/>
    <cellStyle name="Normal 2 5 5 2 2" xfId="7264" xr:uid="{00000000-0005-0000-0000-000067110000}"/>
    <cellStyle name="Normal 2 5 5 2 2 2" xfId="16590" xr:uid="{DD168645-BBF3-4396-97C6-39FFE9FBE59F}"/>
    <cellStyle name="Normal 2 5 5 2 2 3" xfId="25037" xr:uid="{5ACC899F-173D-45B9-878E-1AB71DD57818}"/>
    <cellStyle name="Normal 2 5 5 2 3" xfId="12373" xr:uid="{CB050A1F-8758-4B9D-A830-11F11E430BEE}"/>
    <cellStyle name="Normal 2 5 5 2 4" xfId="20820" xr:uid="{82EC87F7-B291-4B03-844A-393B135F4B15}"/>
    <cellStyle name="Normal 2 5 5 3" xfId="5119" xr:uid="{00000000-0005-0000-0000-000068110000}"/>
    <cellStyle name="Normal 2 5 5 3 2" xfId="14445" xr:uid="{F5C79944-3BE3-4E29-B311-6B490F1D7A22}"/>
    <cellStyle name="Normal 2 5 5 3 3" xfId="22892" xr:uid="{DB90BFFF-ABD4-498E-82F2-EE9D94CD4204}"/>
    <cellStyle name="Normal 2 5 5 4" xfId="9606" xr:uid="{3AE4D77A-44EE-40C2-9F71-05FBDE2746B2}"/>
    <cellStyle name="Normal 2 5 5 5" xfId="10228" xr:uid="{2082D3A4-FF72-4987-A187-FEF1E1FC04A1}"/>
    <cellStyle name="Normal 2 5 5 6" xfId="18675" xr:uid="{E6C32ABC-1308-423E-A2C5-C8449A68E067}"/>
    <cellStyle name="Normal 2 5 6" xfId="1225" xr:uid="{00000000-0005-0000-0000-000069110000}"/>
    <cellStyle name="Normal 2 5 6 2" xfId="3455" xr:uid="{00000000-0005-0000-0000-00006A110000}"/>
    <cellStyle name="Normal 2 5 6 2 2" xfId="7677" xr:uid="{00000000-0005-0000-0000-00006B110000}"/>
    <cellStyle name="Normal 2 5 6 2 2 2" xfId="17003" xr:uid="{B7AE5A96-8421-49FA-ABE5-DBE6C3F52C8C}"/>
    <cellStyle name="Normal 2 5 6 2 2 3" xfId="25450" xr:uid="{7EF76EBA-131C-4887-8065-A21469A9729B}"/>
    <cellStyle name="Normal 2 5 6 2 3" xfId="12786" xr:uid="{B15C8067-73CC-4761-A5B4-A4F4760E7395}"/>
    <cellStyle name="Normal 2 5 6 2 4" xfId="21233" xr:uid="{F617A7DE-23AC-4FCE-A36D-5DA405E0ABA6}"/>
    <cellStyle name="Normal 2 5 6 3" xfId="5532" xr:uid="{00000000-0005-0000-0000-00006C110000}"/>
    <cellStyle name="Normal 2 5 6 3 2" xfId="14858" xr:uid="{C44CA237-BDC4-4968-A244-47A17C23725A}"/>
    <cellStyle name="Normal 2 5 6 3 3" xfId="23305" xr:uid="{C6E9024D-8400-43A3-A1FC-CCBBB817C740}"/>
    <cellStyle name="Normal 2 5 6 4" xfId="10641" xr:uid="{5F8DE559-4863-469A-8503-1F1453C484A4}"/>
    <cellStyle name="Normal 2 5 6 5" xfId="19088" xr:uid="{4C0C8DEC-6944-4D70-BDC7-93CD1A5381B7}"/>
    <cellStyle name="Normal 2 5 7" xfId="1638" xr:uid="{00000000-0005-0000-0000-00006D110000}"/>
    <cellStyle name="Normal 2 5 7 2" xfId="3868" xr:uid="{00000000-0005-0000-0000-00006E110000}"/>
    <cellStyle name="Normal 2 5 7 2 2" xfId="8090" xr:uid="{00000000-0005-0000-0000-00006F110000}"/>
    <cellStyle name="Normal 2 5 7 2 2 2" xfId="17416" xr:uid="{5B2A64EF-924B-4A52-83F2-554C02E6D43B}"/>
    <cellStyle name="Normal 2 5 7 2 2 3" xfId="25863" xr:uid="{DD40D4B8-CC9F-43E1-8735-BE0482F9A5CC}"/>
    <cellStyle name="Normal 2 5 7 2 3" xfId="13199" xr:uid="{89EFC516-82A3-4DEC-B74E-573B5D950AEE}"/>
    <cellStyle name="Normal 2 5 7 2 4" xfId="21646" xr:uid="{1DE2C652-8BFD-4517-A51A-B7C0109FF409}"/>
    <cellStyle name="Normal 2 5 7 3" xfId="5945" xr:uid="{00000000-0005-0000-0000-000070110000}"/>
    <cellStyle name="Normal 2 5 7 3 2" xfId="15271" xr:uid="{959882AE-AC72-480D-A992-C701685CA342}"/>
    <cellStyle name="Normal 2 5 7 3 3" xfId="23718" xr:uid="{84E4D222-1B64-4AE7-AD42-CD642B3486DF}"/>
    <cellStyle name="Normal 2 5 7 4" xfId="11054" xr:uid="{3F384D8F-57FF-4C5F-816A-766961220DD9}"/>
    <cellStyle name="Normal 2 5 7 5" xfId="19501" xr:uid="{C1A42508-AA76-46F1-BC2B-06C4DA79BC2A}"/>
    <cellStyle name="Normal 2 5 8" xfId="2052" xr:uid="{00000000-0005-0000-0000-000071110000}"/>
    <cellStyle name="Normal 2 5 8 2" xfId="4281" xr:uid="{00000000-0005-0000-0000-000072110000}"/>
    <cellStyle name="Normal 2 5 8 2 2" xfId="8503" xr:uid="{00000000-0005-0000-0000-000073110000}"/>
    <cellStyle name="Normal 2 5 8 2 2 2" xfId="17829" xr:uid="{85E40129-BE21-4C88-8DE0-6A691B3F7282}"/>
    <cellStyle name="Normal 2 5 8 2 2 3" xfId="26276" xr:uid="{541A9460-2D8F-48D5-9481-53BD6DF8BD77}"/>
    <cellStyle name="Normal 2 5 8 2 3" xfId="13612" xr:uid="{4CE4D2A5-10F7-48B7-9948-DD5985BD1817}"/>
    <cellStyle name="Normal 2 5 8 2 4" xfId="22059" xr:uid="{20BD6465-3178-486A-B715-70A42651C654}"/>
    <cellStyle name="Normal 2 5 8 3" xfId="6358" xr:uid="{00000000-0005-0000-0000-000074110000}"/>
    <cellStyle name="Normal 2 5 8 3 2" xfId="15684" xr:uid="{3729C1B9-F478-45AB-9CF6-0DD0CCDF8A1D}"/>
    <cellStyle name="Normal 2 5 8 3 3" xfId="24131" xr:uid="{B51DCB73-3520-43A9-9989-4A3EC657C8AC}"/>
    <cellStyle name="Normal 2 5 8 4" xfId="11467" xr:uid="{4CC59C11-A8F6-4ECE-8BBB-994619DFD8DF}"/>
    <cellStyle name="Normal 2 5 8 5" xfId="19914" xr:uid="{CCB661F2-D8F1-4E9C-BFB4-B95C17259D88}"/>
    <cellStyle name="Normal 2 5 9" xfId="2488" xr:uid="{00000000-0005-0000-0000-000075110000}"/>
    <cellStyle name="Normal 2 5 9 2" xfId="6771" xr:uid="{00000000-0005-0000-0000-000076110000}"/>
    <cellStyle name="Normal 2 5 9 2 2" xfId="16097" xr:uid="{9FDC4175-7D2A-4ABC-9DB6-7CE7B9BCAE2B}"/>
    <cellStyle name="Normal 2 5 9 2 3" xfId="24544" xr:uid="{A35EDB89-C637-41F6-AC58-9013C414407E}"/>
    <cellStyle name="Normal 2 5 9 3" xfId="11880" xr:uid="{755737D0-D642-481F-8743-03BD23CC65AB}"/>
    <cellStyle name="Normal 2 5 9 4" xfId="20327" xr:uid="{358CAC85-4CF0-4F52-95BF-D6BF5D223685}"/>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B4F01AC0-1F87-4BAE-AA59-3E18190E28A8}"/>
    <cellStyle name="Normal 3 2 11" xfId="18266" xr:uid="{80EBDC1B-D54D-4FC2-BFCE-3C9CEB923612}"/>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1" xfId="9820" xr:uid="{7A553EE8-D773-4508-A72A-D2D829AC108F}"/>
    <cellStyle name="Normal 3 2 3 12" xfId="18267" xr:uid="{733A99D1-FE6F-47F0-B515-E231FF44552F}"/>
    <cellStyle name="Normal 3 2 3 2" xfId="327" xr:uid="{00000000-0005-0000-0000-00007F110000}"/>
    <cellStyle name="Normal 3 2 3 2 10" xfId="9821" xr:uid="{C814FD58-FD32-42C2-9EC0-BD256154D2EB}"/>
    <cellStyle name="Normal 3 2 3 2 11" xfId="18268" xr:uid="{CEEAA79D-1097-4BA5-BCDA-AA92019F5C46}"/>
    <cellStyle name="Normal 3 2 3 2 2" xfId="328" xr:uid="{00000000-0005-0000-0000-000080110000}"/>
    <cellStyle name="Normal 3 2 3 2 2 10" xfId="18269" xr:uid="{C9DE9896-8383-4B7F-BFAB-0F788ACDEBC5}"/>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B1285E14-CCDE-4E1A-AEE6-2820E5102E51}"/>
    <cellStyle name="Normal 3 2 3 2 2 2 2 2 3" xfId="25045" xr:uid="{FCB437E7-6774-4FA7-B8DD-B7EE3A9BECFA}"/>
    <cellStyle name="Normal 3 2 3 2 2 2 2 3" xfId="12381" xr:uid="{109062AB-EE47-443E-9E9F-3CC6F98DC085}"/>
    <cellStyle name="Normal 3 2 3 2 2 2 2 4" xfId="20828" xr:uid="{FB6E549B-BD9C-4BED-9FF5-18DAAB5C4BD0}"/>
    <cellStyle name="Normal 3 2 3 2 2 2 3" xfId="5127" xr:uid="{00000000-0005-0000-0000-000084110000}"/>
    <cellStyle name="Normal 3 2 3 2 2 2 3 2" xfId="14453" xr:uid="{D3B88875-6F4D-4F9E-B52B-C4D838006193}"/>
    <cellStyle name="Normal 3 2 3 2 2 2 3 3" xfId="22900" xr:uid="{228F7743-7A93-40AD-92D0-AEC31B75F6B3}"/>
    <cellStyle name="Normal 3 2 3 2 2 2 4" xfId="9552" xr:uid="{54198C1B-8B77-4C07-BFED-28C4D4E00A0C}"/>
    <cellStyle name="Normal 3 2 3 2 2 2 5" xfId="10236" xr:uid="{187B7627-5B20-434F-9730-C01930F996C1}"/>
    <cellStyle name="Normal 3 2 3 2 2 2 6" xfId="18683" xr:uid="{FB561558-42D7-4565-8074-F91AE1953BDF}"/>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BC1DDC26-EFF8-44A7-8062-50DD3D1FDAB7}"/>
    <cellStyle name="Normal 3 2 3 2 2 3 2 2 3" xfId="25458" xr:uid="{3BDEF7BD-4273-459F-8A0B-D5A00BBF2771}"/>
    <cellStyle name="Normal 3 2 3 2 2 3 2 3" xfId="12794" xr:uid="{D2B820BA-BEFD-4319-9563-A881A8E669E1}"/>
    <cellStyle name="Normal 3 2 3 2 2 3 2 4" xfId="21241" xr:uid="{F398DD8C-EA57-47DA-AF5F-7EFA8CC32245}"/>
    <cellStyle name="Normal 3 2 3 2 2 3 3" xfId="5540" xr:uid="{00000000-0005-0000-0000-000088110000}"/>
    <cellStyle name="Normal 3 2 3 2 2 3 3 2" xfId="14866" xr:uid="{75E6496A-6549-4DB9-AD10-7402C6FEB639}"/>
    <cellStyle name="Normal 3 2 3 2 2 3 3 3" xfId="23313" xr:uid="{3DED146F-83E8-462B-B8E0-F0483675E429}"/>
    <cellStyle name="Normal 3 2 3 2 2 3 4" xfId="10649" xr:uid="{B4525FF7-BA9A-4585-8D6E-AD44496032E2}"/>
    <cellStyle name="Normal 3 2 3 2 2 3 5" xfId="19096" xr:uid="{88CDAAD4-FA92-49F8-A128-08F88AE9A176}"/>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51153594-88AA-4093-B62F-34B95E9DA65D}"/>
    <cellStyle name="Normal 3 2 3 2 2 4 2 2 3" xfId="25871" xr:uid="{69C567BD-3809-4568-8B55-89DC0BB08402}"/>
    <cellStyle name="Normal 3 2 3 2 2 4 2 3" xfId="13207" xr:uid="{31DA04C2-2045-472A-A997-EBFDA76D5EC0}"/>
    <cellStyle name="Normal 3 2 3 2 2 4 2 4" xfId="21654" xr:uid="{D25BCDB5-5307-4A94-879D-3A373A5A9C9B}"/>
    <cellStyle name="Normal 3 2 3 2 2 4 3" xfId="5953" xr:uid="{00000000-0005-0000-0000-00008C110000}"/>
    <cellStyle name="Normal 3 2 3 2 2 4 3 2" xfId="15279" xr:uid="{8262B229-2B93-47BC-A9B3-6CF2A8B25AA5}"/>
    <cellStyle name="Normal 3 2 3 2 2 4 3 3" xfId="23726" xr:uid="{98D8EAD1-F7D7-4A3F-BDA0-BDCDAB16ACC9}"/>
    <cellStyle name="Normal 3 2 3 2 2 4 4" xfId="11062" xr:uid="{F792B123-BBE5-44BA-A035-67F5C47DC5EF}"/>
    <cellStyle name="Normal 3 2 3 2 2 4 5" xfId="19509" xr:uid="{FBF98B0A-05BA-4C31-8ADA-B641FE541A29}"/>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A7FC2076-5993-4FB2-9304-4969D97F6741}"/>
    <cellStyle name="Normal 3 2 3 2 2 5 2 2 3" xfId="26284" xr:uid="{DF0FFB42-D014-4528-9EDB-C5AECB6C28AD}"/>
    <cellStyle name="Normal 3 2 3 2 2 5 2 3" xfId="13620" xr:uid="{215319EF-F058-4460-B049-E4D288ADC9B4}"/>
    <cellStyle name="Normal 3 2 3 2 2 5 2 4" xfId="22067" xr:uid="{971DD2FF-AAF8-4E4F-9673-D4543A6908D1}"/>
    <cellStyle name="Normal 3 2 3 2 2 5 3" xfId="6366" xr:uid="{00000000-0005-0000-0000-000090110000}"/>
    <cellStyle name="Normal 3 2 3 2 2 5 3 2" xfId="15692" xr:uid="{860B1B21-C423-4856-B293-5324E59BF24E}"/>
    <cellStyle name="Normal 3 2 3 2 2 5 3 3" xfId="24139" xr:uid="{6436AF2E-635E-4C8B-9B5D-E8949B9BB85F}"/>
    <cellStyle name="Normal 3 2 3 2 2 5 4" xfId="11475" xr:uid="{6C1C984E-C5F0-4F45-92FA-A14543A588DE}"/>
    <cellStyle name="Normal 3 2 3 2 2 5 5" xfId="19922" xr:uid="{769C0755-3EC3-4F4D-807B-316BA7A0081B}"/>
    <cellStyle name="Normal 3 2 3 2 2 6" xfId="2496" xr:uid="{00000000-0005-0000-0000-000091110000}"/>
    <cellStyle name="Normal 3 2 3 2 2 6 2" xfId="6779" xr:uid="{00000000-0005-0000-0000-000092110000}"/>
    <cellStyle name="Normal 3 2 3 2 2 6 2 2" xfId="16105" xr:uid="{C44FEF72-E9C4-4345-AE59-2BF950AF4B8E}"/>
    <cellStyle name="Normal 3 2 3 2 2 6 2 3" xfId="24552" xr:uid="{D7318F69-F1F1-47AC-88B1-A2D81DD4AF54}"/>
    <cellStyle name="Normal 3 2 3 2 2 6 3" xfId="11888" xr:uid="{726F68A2-4F7B-4E6B-B13B-A092F655CBEF}"/>
    <cellStyle name="Normal 3 2 3 2 2 6 4" xfId="20335" xr:uid="{D4D9874E-A9BF-4BA1-8A26-554B8AE2BE18}"/>
    <cellStyle name="Normal 3 2 3 2 2 7" xfId="4713" xr:uid="{00000000-0005-0000-0000-000093110000}"/>
    <cellStyle name="Normal 3 2 3 2 2 7 2" xfId="14039" xr:uid="{40A7C7FF-79C5-4778-928F-507B209534E8}"/>
    <cellStyle name="Normal 3 2 3 2 2 7 3" xfId="22486" xr:uid="{56F171EE-6901-4AD5-8472-78175511821C}"/>
    <cellStyle name="Normal 3 2 3 2 2 8" xfId="9127" xr:uid="{0583B12A-AAD6-4358-9C0C-42D6EBC3DFD8}"/>
    <cellStyle name="Normal 3 2 3 2 2 9" xfId="9822" xr:uid="{9AA5507B-332F-41D3-9236-2903A60039C5}"/>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1728C0FB-7D82-4E6F-B565-39DA1921FBDE}"/>
    <cellStyle name="Normal 3 2 3 2 3 2 2 3" xfId="25044" xr:uid="{0131CAFD-82AE-4EBF-B6C1-D0BB5FF84378}"/>
    <cellStyle name="Normal 3 2 3 2 3 2 3" xfId="12380" xr:uid="{26414987-3F15-470B-9F9A-3339915EDC2B}"/>
    <cellStyle name="Normal 3 2 3 2 3 2 4" xfId="20827" xr:uid="{49A9B45C-4CB1-4783-8C5C-50979CA886FB}"/>
    <cellStyle name="Normal 3 2 3 2 3 3" xfId="5126" xr:uid="{00000000-0005-0000-0000-000097110000}"/>
    <cellStyle name="Normal 3 2 3 2 3 3 2" xfId="14452" xr:uid="{7AD680B7-9604-4D7C-80D3-A2FE74014C52}"/>
    <cellStyle name="Normal 3 2 3 2 3 3 3" xfId="22899" xr:uid="{876D8D0F-034B-4C51-89DD-7A0A6B0B7FAA}"/>
    <cellStyle name="Normal 3 2 3 2 3 4" xfId="9345" xr:uid="{C34A3811-3C7F-4E99-A17A-CCF74A426C86}"/>
    <cellStyle name="Normal 3 2 3 2 3 5" xfId="10235" xr:uid="{130AE99D-380D-4CE4-9A89-DED467183928}"/>
    <cellStyle name="Normal 3 2 3 2 3 6" xfId="18682" xr:uid="{7A471E11-5DD3-4208-A3C2-70CC4040D8B4}"/>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D9048E1B-B1EC-4C37-A358-A27439D26B30}"/>
    <cellStyle name="Normal 3 2 3 2 4 2 2 3" xfId="25457" xr:uid="{3EB826BB-B184-46C4-A687-BA84D535DB09}"/>
    <cellStyle name="Normal 3 2 3 2 4 2 3" xfId="12793" xr:uid="{7E847D51-6BB8-4E79-8A99-6C1E9DCCCDD8}"/>
    <cellStyle name="Normal 3 2 3 2 4 2 4" xfId="21240" xr:uid="{9951D08F-7667-43A4-9CF7-D81A2880E5B9}"/>
    <cellStyle name="Normal 3 2 3 2 4 3" xfId="5539" xr:uid="{00000000-0005-0000-0000-00009B110000}"/>
    <cellStyle name="Normal 3 2 3 2 4 3 2" xfId="14865" xr:uid="{B52E64F5-0BDC-414E-9A9B-6EAF06852DEB}"/>
    <cellStyle name="Normal 3 2 3 2 4 3 3" xfId="23312" xr:uid="{083F692D-F2CE-4C57-8327-209490EA01E2}"/>
    <cellStyle name="Normal 3 2 3 2 4 4" xfId="10648" xr:uid="{39FEA66A-D07B-4001-B9CB-CE489437E79B}"/>
    <cellStyle name="Normal 3 2 3 2 4 5" xfId="19095" xr:uid="{4385BDC2-1B95-4993-BB87-D4D4AC47983D}"/>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70A9C907-C465-41CE-933D-F362BC80D726}"/>
    <cellStyle name="Normal 3 2 3 2 5 2 2 3" xfId="25870" xr:uid="{47BFC8C3-90EF-4EAF-863E-A77957489939}"/>
    <cellStyle name="Normal 3 2 3 2 5 2 3" xfId="13206" xr:uid="{A924CCC8-6115-4EE3-8436-BC3B4CE48E56}"/>
    <cellStyle name="Normal 3 2 3 2 5 2 4" xfId="21653" xr:uid="{87DDD4A4-CD4F-4972-87F0-8D94D2E04232}"/>
    <cellStyle name="Normal 3 2 3 2 5 3" xfId="5952" xr:uid="{00000000-0005-0000-0000-00009F110000}"/>
    <cellStyle name="Normal 3 2 3 2 5 3 2" xfId="15278" xr:uid="{4BBEB6AB-77D2-4068-AE49-2486D2DF38B7}"/>
    <cellStyle name="Normal 3 2 3 2 5 3 3" xfId="23725" xr:uid="{2EEF8C99-676B-4A38-9A90-19F5CCFF183A}"/>
    <cellStyle name="Normal 3 2 3 2 5 4" xfId="11061" xr:uid="{508FF420-37B8-4353-AAFA-0F5E9EEC1CE8}"/>
    <cellStyle name="Normal 3 2 3 2 5 5" xfId="19508" xr:uid="{8FCCCA4F-25B2-451F-8825-F158259E98EA}"/>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5ABC9371-7C2C-48B9-9F23-C1AE0D506584}"/>
    <cellStyle name="Normal 3 2 3 2 6 2 2 3" xfId="26283" xr:uid="{2141AB2D-1CD9-43BE-B996-FEEA3DAFB7D7}"/>
    <cellStyle name="Normal 3 2 3 2 6 2 3" xfId="13619" xr:uid="{33AD51C1-776F-49C8-BB8C-DEDF2BF4657D}"/>
    <cellStyle name="Normal 3 2 3 2 6 2 4" xfId="22066" xr:uid="{08F09A99-7068-436E-8BEE-CCE384D84744}"/>
    <cellStyle name="Normal 3 2 3 2 6 3" xfId="6365" xr:uid="{00000000-0005-0000-0000-0000A3110000}"/>
    <cellStyle name="Normal 3 2 3 2 6 3 2" xfId="15691" xr:uid="{76B6C0A4-EEDD-4C47-9565-0559FAE32E6A}"/>
    <cellStyle name="Normal 3 2 3 2 6 3 3" xfId="24138" xr:uid="{7ADF57E1-4870-49BA-8C75-E910BD2E7B89}"/>
    <cellStyle name="Normal 3 2 3 2 6 4" xfId="11474" xr:uid="{80F54E55-C726-4FFD-BA8A-4D99B4133553}"/>
    <cellStyle name="Normal 3 2 3 2 6 5" xfId="19921" xr:uid="{BE93D2D5-3D32-438B-9F4B-AAE50FC54D6C}"/>
    <cellStyle name="Normal 3 2 3 2 7" xfId="2495" xr:uid="{00000000-0005-0000-0000-0000A4110000}"/>
    <cellStyle name="Normal 3 2 3 2 7 2" xfId="6778" xr:uid="{00000000-0005-0000-0000-0000A5110000}"/>
    <cellStyle name="Normal 3 2 3 2 7 2 2" xfId="16104" xr:uid="{AE511CFF-4D00-43CF-8EAC-1858068BE366}"/>
    <cellStyle name="Normal 3 2 3 2 7 2 3" xfId="24551" xr:uid="{DAC803B0-CAC6-49AC-9331-05F9D0842ED4}"/>
    <cellStyle name="Normal 3 2 3 2 7 3" xfId="11887" xr:uid="{DCFBFAE0-9184-427D-84A9-4FC2C57A11BC}"/>
    <cellStyle name="Normal 3 2 3 2 7 4" xfId="20334" xr:uid="{08134E44-9F80-4CCC-92AE-9BF24444E685}"/>
    <cellStyle name="Normal 3 2 3 2 8" xfId="4712" xr:uid="{00000000-0005-0000-0000-0000A6110000}"/>
    <cellStyle name="Normal 3 2 3 2 8 2" xfId="14038" xr:uid="{F2DB94E8-FFEB-4457-9D9B-2492F39E03D0}"/>
    <cellStyle name="Normal 3 2 3 2 8 3" xfId="22485" xr:uid="{6B004E85-DE8E-46FB-99E3-0B137839B2DC}"/>
    <cellStyle name="Normal 3 2 3 2 9" xfId="8920" xr:uid="{D9E0825A-068A-435C-BDBE-2C0571A11FAF}"/>
    <cellStyle name="Normal 3 2 3 3" xfId="329" xr:uid="{00000000-0005-0000-0000-0000A7110000}"/>
    <cellStyle name="Normal 3 2 3 3 10" xfId="18270" xr:uid="{27CF7A11-B0B5-4F41-A547-3FFA11F3A4CE}"/>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A30EDB9B-E45A-480B-87E8-B65D895B76FF}"/>
    <cellStyle name="Normal 3 2 3 3 2 2 2 3" xfId="25046" xr:uid="{4F595486-4267-4DB7-835F-9E12C49D2A0B}"/>
    <cellStyle name="Normal 3 2 3 3 2 2 3" xfId="12382" xr:uid="{F52314EB-2ED7-4469-B1A0-C08B31361CF5}"/>
    <cellStyle name="Normal 3 2 3 3 2 2 4" xfId="20829" xr:uid="{252E8A3D-B0BF-4293-80C4-F9624F2E3146}"/>
    <cellStyle name="Normal 3 2 3 3 2 3" xfId="5128" xr:uid="{00000000-0005-0000-0000-0000AB110000}"/>
    <cellStyle name="Normal 3 2 3 3 2 3 2" xfId="14454" xr:uid="{8CFD5EA2-AC96-4A60-A4F4-9FC8C56B589F}"/>
    <cellStyle name="Normal 3 2 3 3 2 3 3" xfId="22901" xr:uid="{8880AE60-5543-4FF8-A06F-E4AE8377B428}"/>
    <cellStyle name="Normal 3 2 3 3 2 4" xfId="9449" xr:uid="{7F58A2DC-DF16-44D1-8D09-04DD41EF4468}"/>
    <cellStyle name="Normal 3 2 3 3 2 5" xfId="10237" xr:uid="{9595B98D-B0A4-495C-959B-2BE9BB70650B}"/>
    <cellStyle name="Normal 3 2 3 3 2 6" xfId="18684" xr:uid="{94182516-8195-46B1-B105-87118EFFF8B5}"/>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2CFFCFF7-3E10-4D07-88E6-37CF5A08DEFB}"/>
    <cellStyle name="Normal 3 2 3 3 3 2 2 3" xfId="25459" xr:uid="{BE913A4E-32F1-4B80-A618-C5C47C17CA09}"/>
    <cellStyle name="Normal 3 2 3 3 3 2 3" xfId="12795" xr:uid="{86336DF7-2339-4A4C-A065-2FBC27942F64}"/>
    <cellStyle name="Normal 3 2 3 3 3 2 4" xfId="21242" xr:uid="{81024617-BC91-4B93-BCA5-A00262E70ADB}"/>
    <cellStyle name="Normal 3 2 3 3 3 3" xfId="5541" xr:uid="{00000000-0005-0000-0000-0000AF110000}"/>
    <cellStyle name="Normal 3 2 3 3 3 3 2" xfId="14867" xr:uid="{A13B374F-76CF-4603-82C9-035230065F2A}"/>
    <cellStyle name="Normal 3 2 3 3 3 3 3" xfId="23314" xr:uid="{C6F1FE0A-041B-4C2E-9166-81D5920CD0F2}"/>
    <cellStyle name="Normal 3 2 3 3 3 4" xfId="10650" xr:uid="{B3DD18AC-6136-455D-8FC4-1E7B7E4847E3}"/>
    <cellStyle name="Normal 3 2 3 3 3 5" xfId="19097" xr:uid="{1D38F613-55D8-4748-887B-023B57B6AFDC}"/>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26DD2C5C-E713-4D84-906E-F7CD4D691F7B}"/>
    <cellStyle name="Normal 3 2 3 3 4 2 2 3" xfId="25872" xr:uid="{6F61CAA3-4079-49BF-B8EA-01F3DF9D844A}"/>
    <cellStyle name="Normal 3 2 3 3 4 2 3" xfId="13208" xr:uid="{14E735BE-9CAA-42DD-B732-D5D4D9D7EF38}"/>
    <cellStyle name="Normal 3 2 3 3 4 2 4" xfId="21655" xr:uid="{A51A5D20-57BE-44C4-B444-7077E15933F1}"/>
    <cellStyle name="Normal 3 2 3 3 4 3" xfId="5954" xr:uid="{00000000-0005-0000-0000-0000B3110000}"/>
    <cellStyle name="Normal 3 2 3 3 4 3 2" xfId="15280" xr:uid="{A6D947BE-5EE0-441C-82B9-DE6978EBA503}"/>
    <cellStyle name="Normal 3 2 3 3 4 3 3" xfId="23727" xr:uid="{8C29E8A2-502E-4D10-A6A0-F549B265EC33}"/>
    <cellStyle name="Normal 3 2 3 3 4 4" xfId="11063" xr:uid="{7FFCD33C-BDB0-4BCC-A3D0-A69CB0E41769}"/>
    <cellStyle name="Normal 3 2 3 3 4 5" xfId="19510" xr:uid="{E4A4B280-047A-4BB6-B36C-D716B2B16C4F}"/>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27B79F60-1553-44C2-BE46-08B8AB2C9523}"/>
    <cellStyle name="Normal 3 2 3 3 5 2 2 3" xfId="26285" xr:uid="{03FF106A-4456-4AED-B82A-8898861F1F9F}"/>
    <cellStyle name="Normal 3 2 3 3 5 2 3" xfId="13621" xr:uid="{E5188E78-E3D0-4B9A-9B3A-0AA2092387AA}"/>
    <cellStyle name="Normal 3 2 3 3 5 2 4" xfId="22068" xr:uid="{B16B78F2-6E4A-440A-9418-A6CF6EAB6BFF}"/>
    <cellStyle name="Normal 3 2 3 3 5 3" xfId="6367" xr:uid="{00000000-0005-0000-0000-0000B7110000}"/>
    <cellStyle name="Normal 3 2 3 3 5 3 2" xfId="15693" xr:uid="{4A4B8915-3BD9-4A57-B80F-A131D113B359}"/>
    <cellStyle name="Normal 3 2 3 3 5 3 3" xfId="24140" xr:uid="{4266B167-1C94-4389-8D1B-A19AA2421744}"/>
    <cellStyle name="Normal 3 2 3 3 5 4" xfId="11476" xr:uid="{A1E332FD-D6E9-4DF6-B229-AEDE1EB27E78}"/>
    <cellStyle name="Normal 3 2 3 3 5 5" xfId="19923" xr:uid="{781406ED-E6B3-44EE-B2BD-A6823EFACF8A}"/>
    <cellStyle name="Normal 3 2 3 3 6" xfId="2497" xr:uid="{00000000-0005-0000-0000-0000B8110000}"/>
    <cellStyle name="Normal 3 2 3 3 6 2" xfId="6780" xr:uid="{00000000-0005-0000-0000-0000B9110000}"/>
    <cellStyle name="Normal 3 2 3 3 6 2 2" xfId="16106" xr:uid="{CFF75413-E844-41E3-B278-92ED96C27D6C}"/>
    <cellStyle name="Normal 3 2 3 3 6 2 3" xfId="24553" xr:uid="{2238FA33-9029-4A8D-84DC-7DCF4F841835}"/>
    <cellStyle name="Normal 3 2 3 3 6 3" xfId="11889" xr:uid="{BC913D57-F0ED-4F40-8595-9A9EE4241769}"/>
    <cellStyle name="Normal 3 2 3 3 6 4" xfId="20336" xr:uid="{C49EC8F1-8C6B-4EE2-854E-79010E65E8E6}"/>
    <cellStyle name="Normal 3 2 3 3 7" xfId="4714" xr:uid="{00000000-0005-0000-0000-0000BA110000}"/>
    <cellStyle name="Normal 3 2 3 3 7 2" xfId="14040" xr:uid="{AE139838-73B1-4146-A8D2-BC492C546880}"/>
    <cellStyle name="Normal 3 2 3 3 7 3" xfId="22487" xr:uid="{EFD7EAE4-91E1-4E08-8A79-EA2441F3BC7C}"/>
    <cellStyle name="Normal 3 2 3 3 8" xfId="9024" xr:uid="{AE2F680F-18A3-47B5-ADCF-6BEAD71D50CE}"/>
    <cellStyle name="Normal 3 2 3 3 9" xfId="9823" xr:uid="{6A7D1492-0CB4-4441-AB16-A458D6784AA5}"/>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BFB538FC-ABC7-4CFF-ACA1-1A93619011A7}"/>
    <cellStyle name="Normal 3 2 3 4 2 2 3" xfId="25043" xr:uid="{1BE5F9DB-6E5A-4632-BCDE-37F55E124A6F}"/>
    <cellStyle name="Normal 3 2 3 4 2 3" xfId="12379" xr:uid="{8533D234-D22F-48BA-9710-381D5C2A297C}"/>
    <cellStyle name="Normal 3 2 3 4 2 4" xfId="20826" xr:uid="{DC830E43-91DB-4895-A9EA-DB71EB2361F8}"/>
    <cellStyle name="Normal 3 2 3 4 3" xfId="5125" xr:uid="{00000000-0005-0000-0000-0000BE110000}"/>
    <cellStyle name="Normal 3 2 3 4 3 2" xfId="14451" xr:uid="{8B9D90B9-423D-4391-9427-087241C075EB}"/>
    <cellStyle name="Normal 3 2 3 4 3 3" xfId="22898" xr:uid="{40207DFB-641F-4525-B41B-4AEA763282F1}"/>
    <cellStyle name="Normal 3 2 3 4 4" xfId="9242" xr:uid="{05AEEDFF-7EEB-40DB-B13D-145C971A771B}"/>
    <cellStyle name="Normal 3 2 3 4 5" xfId="10234" xr:uid="{6A114EC7-BE3B-445C-B3A9-CB1928869B90}"/>
    <cellStyle name="Normal 3 2 3 4 6" xfId="18681" xr:uid="{29EF27A7-96B7-45D3-845B-FBAABE583434}"/>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D639E566-8F42-4A8E-945F-C7623D12FB30}"/>
    <cellStyle name="Normal 3 2 3 5 2 2 3" xfId="25456" xr:uid="{914B2E2E-CCEE-4F80-B56E-484D947F4B1D}"/>
    <cellStyle name="Normal 3 2 3 5 2 3" xfId="12792" xr:uid="{EEF21B1A-7D18-4DC6-A2C3-5355927DB363}"/>
    <cellStyle name="Normal 3 2 3 5 2 4" xfId="21239" xr:uid="{E62F0526-4503-4DCC-A2CA-AED404D0C826}"/>
    <cellStyle name="Normal 3 2 3 5 3" xfId="5538" xr:uid="{00000000-0005-0000-0000-0000C2110000}"/>
    <cellStyle name="Normal 3 2 3 5 3 2" xfId="14864" xr:uid="{A8EF92AB-5DC3-4A90-9C7E-068354AA8527}"/>
    <cellStyle name="Normal 3 2 3 5 3 3" xfId="23311" xr:uid="{66FBB929-D7B5-4193-BBFD-1D06B61DBC01}"/>
    <cellStyle name="Normal 3 2 3 5 4" xfId="10647" xr:uid="{2610D2B3-F46C-4D35-9B6B-7A7C5C1368DE}"/>
    <cellStyle name="Normal 3 2 3 5 5" xfId="19094" xr:uid="{C0E423A8-675A-4ACA-AEEB-C63A2808BA06}"/>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7EA5048D-216B-4029-8EB8-C234650E2DC5}"/>
    <cellStyle name="Normal 3 2 3 6 2 2 3" xfId="25869" xr:uid="{C6438AF8-1B18-4524-8D7E-F512DB4B9F9B}"/>
    <cellStyle name="Normal 3 2 3 6 2 3" xfId="13205" xr:uid="{A9D08A42-ED05-4BD0-B516-0C8F80D6A6B9}"/>
    <cellStyle name="Normal 3 2 3 6 2 4" xfId="21652" xr:uid="{1F865202-DB96-46C9-BE57-8C8A545BCA64}"/>
    <cellStyle name="Normal 3 2 3 6 3" xfId="5951" xr:uid="{00000000-0005-0000-0000-0000C6110000}"/>
    <cellStyle name="Normal 3 2 3 6 3 2" xfId="15277" xr:uid="{8E3E5BCD-A0DE-441C-AE64-BF6560B8A878}"/>
    <cellStyle name="Normal 3 2 3 6 3 3" xfId="23724" xr:uid="{C7580DD9-D5EE-41E3-B43B-807C59DD8837}"/>
    <cellStyle name="Normal 3 2 3 6 4" xfId="11060" xr:uid="{D133D96E-2863-47E6-AC6B-21BE738D40A8}"/>
    <cellStyle name="Normal 3 2 3 6 5" xfId="19507" xr:uid="{E5168A07-66ED-4EAF-97CE-2972FB05F5AB}"/>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2BB5755A-10A2-4FD1-934B-3D71A9C765A4}"/>
    <cellStyle name="Normal 3 2 3 7 2 2 3" xfId="26282" xr:uid="{8E5F6233-0F98-464A-B07A-FBA7913EBCB7}"/>
    <cellStyle name="Normal 3 2 3 7 2 3" xfId="13618" xr:uid="{B90D2682-6070-479D-BBCC-FBA97B6376E0}"/>
    <cellStyle name="Normal 3 2 3 7 2 4" xfId="22065" xr:uid="{DD16A7CD-9396-4C5C-9959-FBD46FE7E3EC}"/>
    <cellStyle name="Normal 3 2 3 7 3" xfId="6364" xr:uid="{00000000-0005-0000-0000-0000CA110000}"/>
    <cellStyle name="Normal 3 2 3 7 3 2" xfId="15690" xr:uid="{9EAB1E76-0C29-45F5-81C7-A1E809285AEC}"/>
    <cellStyle name="Normal 3 2 3 7 3 3" xfId="24137" xr:uid="{6B1C05E4-2489-4863-88FB-21F89C47E189}"/>
    <cellStyle name="Normal 3 2 3 7 4" xfId="11473" xr:uid="{20F6D3CB-F4DF-4AC3-B592-85D1EFC28A2A}"/>
    <cellStyle name="Normal 3 2 3 7 5" xfId="19920" xr:uid="{035367D4-67E7-4AF8-BF20-ED878969AAF9}"/>
    <cellStyle name="Normal 3 2 3 8" xfId="2494" xr:uid="{00000000-0005-0000-0000-0000CB110000}"/>
    <cellStyle name="Normal 3 2 3 8 2" xfId="6777" xr:uid="{00000000-0005-0000-0000-0000CC110000}"/>
    <cellStyle name="Normal 3 2 3 8 2 2" xfId="16103" xr:uid="{E5367AC4-FDC0-472F-8DC0-FE53AAAAB103}"/>
    <cellStyle name="Normal 3 2 3 8 2 3" xfId="24550" xr:uid="{AEBF7643-D16A-43A3-BBD4-F5C848E3D3AB}"/>
    <cellStyle name="Normal 3 2 3 8 3" xfId="11886" xr:uid="{0C1B3B94-444E-49C7-94E4-B9B286E87807}"/>
    <cellStyle name="Normal 3 2 3 8 4" xfId="20333" xr:uid="{BD11F511-5B34-41E2-A073-1DDB29902792}"/>
    <cellStyle name="Normal 3 2 3 9" xfId="4711" xr:uid="{00000000-0005-0000-0000-0000CD110000}"/>
    <cellStyle name="Normal 3 2 3 9 2" xfId="14037" xr:uid="{0E974788-0533-4078-B0FE-B4037EA8DE08}"/>
    <cellStyle name="Normal 3 2 3 9 3" xfId="22484" xr:uid="{E44EABCD-11F2-4517-BD84-EA948ED9F705}"/>
    <cellStyle name="Normal 3 2 4" xfId="809" xr:uid="{00000000-0005-0000-0000-0000CE110000}"/>
    <cellStyle name="Normal 3 2 4 2" xfId="3047" xr:uid="{00000000-0005-0000-0000-0000CF110000}"/>
    <cellStyle name="Normal 3 2 4 2 2" xfId="7269" xr:uid="{00000000-0005-0000-0000-0000D0110000}"/>
    <cellStyle name="Normal 3 2 4 2 2 2" xfId="16595" xr:uid="{8801C5CB-A801-4820-92C1-B930F435301D}"/>
    <cellStyle name="Normal 3 2 4 2 2 3" xfId="25042" xr:uid="{50E16E73-5C55-438B-A624-B3DBA0A04C8B}"/>
    <cellStyle name="Normal 3 2 4 2 3" xfId="12378" xr:uid="{DF4CEE68-35D7-4B57-A461-2E2B9CF118EF}"/>
    <cellStyle name="Normal 3 2 4 2 4" xfId="20825" xr:uid="{46325B72-5279-414C-BF84-7FE116F8C726}"/>
    <cellStyle name="Normal 3 2 4 3" xfId="5124" xr:uid="{00000000-0005-0000-0000-0000D1110000}"/>
    <cellStyle name="Normal 3 2 4 3 2" xfId="14450" xr:uid="{4C9E2E25-FF80-4085-B3D1-7315935371F4}"/>
    <cellStyle name="Normal 3 2 4 3 3" xfId="22897" xr:uid="{000F512D-31B2-4B6D-A035-B25DD7610647}"/>
    <cellStyle name="Normal 3 2 4 4" xfId="9607" xr:uid="{7D769806-7069-4B8D-8CAC-B3B91BBA8D64}"/>
    <cellStyle name="Normal 3 2 4 5" xfId="10233" xr:uid="{F63840E5-B2E2-40C9-BC6A-E4DBDB05D944}"/>
    <cellStyle name="Normal 3 2 4 6" xfId="18680" xr:uid="{E001B606-53BF-4B68-9DD0-B226EDA27C95}"/>
    <cellStyle name="Normal 3 2 5" xfId="1230" xr:uid="{00000000-0005-0000-0000-0000D2110000}"/>
    <cellStyle name="Normal 3 2 5 2" xfId="3460" xr:uid="{00000000-0005-0000-0000-0000D3110000}"/>
    <cellStyle name="Normal 3 2 5 2 2" xfId="7682" xr:uid="{00000000-0005-0000-0000-0000D4110000}"/>
    <cellStyle name="Normal 3 2 5 2 2 2" xfId="17008" xr:uid="{54E92B17-E592-4AAB-8C7E-EAC8DC038664}"/>
    <cellStyle name="Normal 3 2 5 2 2 3" xfId="25455" xr:uid="{62CC538A-1935-4B8D-A668-11ABDC23A0D3}"/>
    <cellStyle name="Normal 3 2 5 2 3" xfId="12791" xr:uid="{38EA02A5-34BE-4227-ABFD-3F18858F3F9C}"/>
    <cellStyle name="Normal 3 2 5 2 4" xfId="21238" xr:uid="{6648D078-19ED-4091-8BB2-8F053A083B8C}"/>
    <cellStyle name="Normal 3 2 5 3" xfId="5537" xr:uid="{00000000-0005-0000-0000-0000D5110000}"/>
    <cellStyle name="Normal 3 2 5 3 2" xfId="14863" xr:uid="{BD2BDB2A-97B7-4CD1-A822-BC4398A369BC}"/>
    <cellStyle name="Normal 3 2 5 3 3" xfId="23310" xr:uid="{C76559E7-526F-4260-996A-85BB55D682BC}"/>
    <cellStyle name="Normal 3 2 5 4" xfId="10646" xr:uid="{144DDBD1-7BAA-484C-BF29-D60CDDAE9F2B}"/>
    <cellStyle name="Normal 3 2 5 5" xfId="19093" xr:uid="{5E04FB42-CE18-4202-8E71-A9D9D484375D}"/>
    <cellStyle name="Normal 3 2 6" xfId="1643" xr:uid="{00000000-0005-0000-0000-0000D6110000}"/>
    <cellStyle name="Normal 3 2 6 2" xfId="3873" xr:uid="{00000000-0005-0000-0000-0000D7110000}"/>
    <cellStyle name="Normal 3 2 6 2 2" xfId="8095" xr:uid="{00000000-0005-0000-0000-0000D8110000}"/>
    <cellStyle name="Normal 3 2 6 2 2 2" xfId="17421" xr:uid="{5ED9E52B-5B8C-4CA1-88CC-79451FDE2BE0}"/>
    <cellStyle name="Normal 3 2 6 2 2 3" xfId="25868" xr:uid="{17A0E47E-5019-4CCB-A374-2093390DE950}"/>
    <cellStyle name="Normal 3 2 6 2 3" xfId="13204" xr:uid="{4579113D-264A-4A16-90BF-899DD91BA983}"/>
    <cellStyle name="Normal 3 2 6 2 4" xfId="21651" xr:uid="{51FBAACA-A667-403C-A597-CCD3565A1795}"/>
    <cellStyle name="Normal 3 2 6 3" xfId="5950" xr:uid="{00000000-0005-0000-0000-0000D9110000}"/>
    <cellStyle name="Normal 3 2 6 3 2" xfId="15276" xr:uid="{A39113BC-E70A-44CB-AD52-82759B03C4FF}"/>
    <cellStyle name="Normal 3 2 6 3 3" xfId="23723" xr:uid="{A4A0D25D-3925-48F4-A872-75EBB39F8B38}"/>
    <cellStyle name="Normal 3 2 6 4" xfId="11059" xr:uid="{56ACA5D7-3422-46BC-A576-E1EE2CE973DB}"/>
    <cellStyle name="Normal 3 2 6 5" xfId="19506" xr:uid="{452DD540-AF13-4B55-9E4F-CA9C9438CDF7}"/>
    <cellStyle name="Normal 3 2 7" xfId="2057" xr:uid="{00000000-0005-0000-0000-0000DA110000}"/>
    <cellStyle name="Normal 3 2 7 2" xfId="4286" xr:uid="{00000000-0005-0000-0000-0000DB110000}"/>
    <cellStyle name="Normal 3 2 7 2 2" xfId="8508" xr:uid="{00000000-0005-0000-0000-0000DC110000}"/>
    <cellStyle name="Normal 3 2 7 2 2 2" xfId="17834" xr:uid="{19E15791-763E-4B97-95C8-886090CFB5DC}"/>
    <cellStyle name="Normal 3 2 7 2 2 3" xfId="26281" xr:uid="{DD4FF5C9-2C4B-4778-83FB-C19B9483138F}"/>
    <cellStyle name="Normal 3 2 7 2 3" xfId="13617" xr:uid="{831EDAA5-E4AD-47BB-8AFC-1AF5A41F9F83}"/>
    <cellStyle name="Normal 3 2 7 2 4" xfId="22064" xr:uid="{90E7B905-6497-4732-8EE8-6B05213A7126}"/>
    <cellStyle name="Normal 3 2 7 3" xfId="6363" xr:uid="{00000000-0005-0000-0000-0000DD110000}"/>
    <cellStyle name="Normal 3 2 7 3 2" xfId="15689" xr:uid="{1920B8CA-5B1B-4812-BB2B-69B8BB19EE57}"/>
    <cellStyle name="Normal 3 2 7 3 3" xfId="24136" xr:uid="{D772BD37-841D-4E96-9D1F-60CB02FF8E93}"/>
    <cellStyle name="Normal 3 2 7 4" xfId="11472" xr:uid="{1F6163F7-135A-4D34-BD85-C952CE778CEF}"/>
    <cellStyle name="Normal 3 2 7 5" xfId="19919" xr:uid="{32AE4C4B-AFB3-4B97-91E1-FBA68CFAD2BB}"/>
    <cellStyle name="Normal 3 2 8" xfId="2493" xr:uid="{00000000-0005-0000-0000-0000DE110000}"/>
    <cellStyle name="Normal 3 2 8 2" xfId="6776" xr:uid="{00000000-0005-0000-0000-0000DF110000}"/>
    <cellStyle name="Normal 3 2 8 2 2" xfId="16102" xr:uid="{EF74F86B-6616-471D-9252-B2353D803300}"/>
    <cellStyle name="Normal 3 2 8 2 3" xfId="24549" xr:uid="{9D302C1B-FD93-47A4-B11C-8137972CCE49}"/>
    <cellStyle name="Normal 3 2 8 3" xfId="11885" xr:uid="{E98C3CC0-E75D-4DB0-9709-1912E113E4A5}"/>
    <cellStyle name="Normal 3 2 8 4" xfId="20332" xr:uid="{2DC129DD-DD94-47C6-8907-E1A27A01F75B}"/>
    <cellStyle name="Normal 3 2 9" xfId="4710" xr:uid="{00000000-0005-0000-0000-0000E0110000}"/>
    <cellStyle name="Normal 3 2 9 2" xfId="14036" xr:uid="{22F23857-94F0-4B09-A903-4C6FD469066D}"/>
    <cellStyle name="Normal 3 2 9 3" xfId="22483" xr:uid="{3850C513-12B7-4686-AB4C-B43590614F5A}"/>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1" xfId="9824" xr:uid="{52633DF1-A16B-4902-821C-C27B2AF90EC5}"/>
    <cellStyle name="Normal 4 12" xfId="18271" xr:uid="{9BE207C9-1139-4413-83A4-AFDE3946E67E}"/>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DF175591-3C87-43D1-A7A7-689E004FB480}"/>
    <cellStyle name="Normal 4 2 2 10 2 2 3" xfId="26286" xr:uid="{D5662E6D-CE99-40A0-BFA6-4C39B76739C6}"/>
    <cellStyle name="Normal 4 2 2 10 2 3" xfId="13622" xr:uid="{7B3A0448-D90C-4F11-9FB7-A03FBEA38820}"/>
    <cellStyle name="Normal 4 2 2 10 2 4" xfId="22069" xr:uid="{9F1B885B-FEA6-42ED-B706-8F229F409765}"/>
    <cellStyle name="Normal 4 2 2 10 3" xfId="6368" xr:uid="{00000000-0005-0000-0000-0000ED110000}"/>
    <cellStyle name="Normal 4 2 2 10 3 2" xfId="15694" xr:uid="{8456CC4D-1FC5-4914-B42B-49855B2C17DF}"/>
    <cellStyle name="Normal 4 2 2 10 3 3" xfId="24141" xr:uid="{9FB393CC-DCF3-4D9E-8B02-42559E11D390}"/>
    <cellStyle name="Normal 4 2 2 10 4" xfId="11477" xr:uid="{DD8FDA80-0359-4A22-BF5C-2B9E9087803F}"/>
    <cellStyle name="Normal 4 2 2 10 5" xfId="19924" xr:uid="{BA1F2096-B566-4158-923C-693340407459}"/>
    <cellStyle name="Normal 4 2 2 11" xfId="2498" xr:uid="{00000000-0005-0000-0000-0000EE110000}"/>
    <cellStyle name="Normal 4 2 2 11 2" xfId="6781" xr:uid="{00000000-0005-0000-0000-0000EF110000}"/>
    <cellStyle name="Normal 4 2 2 11 2 2" xfId="16107" xr:uid="{61907D79-0B26-4B4F-BA8F-3BB2986CE734}"/>
    <cellStyle name="Normal 4 2 2 11 2 3" xfId="24554" xr:uid="{D7C26B4E-33DD-46BB-9A34-AD7B0B445F39}"/>
    <cellStyle name="Normal 4 2 2 11 3" xfId="11890" xr:uid="{CE165F33-E948-481C-B89B-3DEA4AEECBD7}"/>
    <cellStyle name="Normal 4 2 2 11 4" xfId="20337" xr:uid="{5703634A-6949-443C-B415-795540F7459F}"/>
    <cellStyle name="Normal 4 2 2 12" xfId="4716" xr:uid="{00000000-0005-0000-0000-0000F0110000}"/>
    <cellStyle name="Normal 4 2 2 12 2" xfId="14042" xr:uid="{F98C0C92-8FF9-499E-99A3-DA62A21F4E09}"/>
    <cellStyle name="Normal 4 2 2 12 3" xfId="22489" xr:uid="{5FD25874-50E8-49D9-9E96-EA2E87F25358}"/>
    <cellStyle name="Normal 4 2 2 13" xfId="8752" xr:uid="{7B61EFAC-4165-4615-9A47-7AF5DAE027C9}"/>
    <cellStyle name="Normal 4 2 2 14" xfId="9825" xr:uid="{4F09BC2A-0189-4B99-B0CA-31AF9DB9DC14}"/>
    <cellStyle name="Normal 4 2 2 15" xfId="18272" xr:uid="{F6C84A61-B8C7-49EA-BA31-A77729569DC3}"/>
    <cellStyle name="Normal 4 2 2 2" xfId="338" xr:uid="{00000000-0005-0000-0000-0000F1110000}"/>
    <cellStyle name="Normal 4 2 2 3" xfId="339" xr:uid="{00000000-0005-0000-0000-0000F2110000}"/>
    <cellStyle name="Normal 4 2 2 3 10" xfId="4717" xr:uid="{00000000-0005-0000-0000-0000F3110000}"/>
    <cellStyle name="Normal 4 2 2 3 10 2" xfId="14043" xr:uid="{ABF7618D-6C9D-4C3A-BD75-11035EF7F28B}"/>
    <cellStyle name="Normal 4 2 2 3 10 3" xfId="22490" xr:uid="{DA247FBB-DD45-44B2-8FE4-417EE3E3933C}"/>
    <cellStyle name="Normal 4 2 2 3 11" xfId="8784" xr:uid="{8AA3A883-811C-4C4A-AFFF-9AAED56BF228}"/>
    <cellStyle name="Normal 4 2 2 3 12" xfId="9826" xr:uid="{6772A047-90E1-4457-B0DF-326A60A968B2}"/>
    <cellStyle name="Normal 4 2 2 3 13" xfId="18273" xr:uid="{4ECE43E6-F66C-4AE5-987A-C72BF2FA5EBA}"/>
    <cellStyle name="Normal 4 2 2 3 2" xfId="340" xr:uid="{00000000-0005-0000-0000-0000F4110000}"/>
    <cellStyle name="Normal 4 2 2 3 2 10" xfId="8819" xr:uid="{16629302-3759-4242-B07E-BB5D034B10E8}"/>
    <cellStyle name="Normal 4 2 2 3 2 11" xfId="9827" xr:uid="{C00A9D4F-E3A1-48A2-AE03-E37625695AC6}"/>
    <cellStyle name="Normal 4 2 2 3 2 12" xfId="18274" xr:uid="{D5D998F6-43DC-4147-8F04-DD62E0AD5597}"/>
    <cellStyle name="Normal 4 2 2 3 2 2" xfId="341" xr:uid="{00000000-0005-0000-0000-0000F5110000}"/>
    <cellStyle name="Normal 4 2 2 3 2 2 10" xfId="9828" xr:uid="{4E9B240E-4DD4-49D9-AB23-5C46404EA74B}"/>
    <cellStyle name="Normal 4 2 2 3 2 2 11" xfId="18275" xr:uid="{4775BF7C-4DB0-4D1C-9B35-E2BDE1A9A530}"/>
    <cellStyle name="Normal 4 2 2 3 2 2 2" xfId="342" xr:uid="{00000000-0005-0000-0000-0000F6110000}"/>
    <cellStyle name="Normal 4 2 2 3 2 2 2 10" xfId="18276" xr:uid="{157917CC-12D6-4B0D-A68B-24F0CD937CD2}"/>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3237937E-0341-4CCC-B5C6-ACEFAA3AE500}"/>
    <cellStyle name="Normal 4 2 2 3 2 2 2 2 2 2 3" xfId="25051" xr:uid="{B2629556-E776-40E7-A2DA-69F1E7488901}"/>
    <cellStyle name="Normal 4 2 2 3 2 2 2 2 2 3" xfId="12387" xr:uid="{1A5728F9-7E26-424A-8C76-C3CA435183F5}"/>
    <cellStyle name="Normal 4 2 2 3 2 2 2 2 2 4" xfId="20834" xr:uid="{618FC329-B977-4A9F-9AEA-2F8C9A38DC13}"/>
    <cellStyle name="Normal 4 2 2 3 2 2 2 2 3" xfId="5133" xr:uid="{00000000-0005-0000-0000-0000FA110000}"/>
    <cellStyle name="Normal 4 2 2 3 2 2 2 2 3 2" xfId="14459" xr:uid="{ADAEAF0B-39B5-409A-811B-66E5389AA548}"/>
    <cellStyle name="Normal 4 2 2 3 2 2 2 2 3 3" xfId="22906" xr:uid="{8D8FD059-BCE2-4382-996A-949561260860}"/>
    <cellStyle name="Normal 4 2 2 3 2 2 2 2 4" xfId="9554" xr:uid="{BAC669EC-8948-4716-90C3-0688F03300CE}"/>
    <cellStyle name="Normal 4 2 2 3 2 2 2 2 5" xfId="10242" xr:uid="{3E4A13E9-4E30-4B70-84A3-1DC814ED3A79}"/>
    <cellStyle name="Normal 4 2 2 3 2 2 2 2 6" xfId="18689" xr:uid="{E4BA4616-D8F1-4C35-B45D-3D08DD8998EA}"/>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596AFBF6-91BC-4438-A769-9BFA6D863B26}"/>
    <cellStyle name="Normal 4 2 2 3 2 2 2 3 2 2 3" xfId="25464" xr:uid="{CA3025F6-258C-4745-8B0C-B037A1DDC7D3}"/>
    <cellStyle name="Normal 4 2 2 3 2 2 2 3 2 3" xfId="12800" xr:uid="{AE29F0B9-B7BD-40E9-8048-78F6810BFA77}"/>
    <cellStyle name="Normal 4 2 2 3 2 2 2 3 2 4" xfId="21247" xr:uid="{974339C5-DC3B-4268-B086-30BFEB9C6808}"/>
    <cellStyle name="Normal 4 2 2 3 2 2 2 3 3" xfId="5546" xr:uid="{00000000-0005-0000-0000-0000FE110000}"/>
    <cellStyle name="Normal 4 2 2 3 2 2 2 3 3 2" xfId="14872" xr:uid="{CFF4B432-5E00-4EB4-BE15-70959F42A4D5}"/>
    <cellStyle name="Normal 4 2 2 3 2 2 2 3 3 3" xfId="23319" xr:uid="{9B50BE6E-7C7A-4B21-B62C-AF5743A2BC9B}"/>
    <cellStyle name="Normal 4 2 2 3 2 2 2 3 4" xfId="10655" xr:uid="{32BF384C-32DF-4AF0-A9B0-5CBAF2F9BBFB}"/>
    <cellStyle name="Normal 4 2 2 3 2 2 2 3 5" xfId="19102" xr:uid="{847EF6C1-1D96-491A-8534-89A2D95171D5}"/>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D4F372B3-968D-4BBA-B245-40271DCC16D1}"/>
    <cellStyle name="Normal 4 2 2 3 2 2 2 4 2 2 3" xfId="25877" xr:uid="{29F0C24A-4F42-49F3-B64F-8446E2F3A3DF}"/>
    <cellStyle name="Normal 4 2 2 3 2 2 2 4 2 3" xfId="13213" xr:uid="{3FFA520F-3EB1-409A-8A5D-F90183BBC756}"/>
    <cellStyle name="Normal 4 2 2 3 2 2 2 4 2 4" xfId="21660" xr:uid="{FD96BB0F-996C-44E9-A43B-2F7910B8CAC9}"/>
    <cellStyle name="Normal 4 2 2 3 2 2 2 4 3" xfId="5959" xr:uid="{00000000-0005-0000-0000-000002120000}"/>
    <cellStyle name="Normal 4 2 2 3 2 2 2 4 3 2" xfId="15285" xr:uid="{E5A2D1DD-BF8A-4839-9D36-26E133171590}"/>
    <cellStyle name="Normal 4 2 2 3 2 2 2 4 3 3" xfId="23732" xr:uid="{19089DC8-B9F2-43B7-A0E8-BD442982E51A}"/>
    <cellStyle name="Normal 4 2 2 3 2 2 2 4 4" xfId="11068" xr:uid="{C863CB5F-4465-4A5E-8695-5C052B01C38E}"/>
    <cellStyle name="Normal 4 2 2 3 2 2 2 4 5" xfId="19515" xr:uid="{7E893C1C-CCF4-42FA-825B-D7734AEBB6A2}"/>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21670D44-C5C6-4F8B-A4BA-4791DB35C98C}"/>
    <cellStyle name="Normal 4 2 2 3 2 2 2 5 2 2 3" xfId="26290" xr:uid="{D7C7AB5F-47CB-420D-93D7-7A873CF3F1D3}"/>
    <cellStyle name="Normal 4 2 2 3 2 2 2 5 2 3" xfId="13626" xr:uid="{1E5488D6-0813-4E5E-9E4B-41ED17A5A5FB}"/>
    <cellStyle name="Normal 4 2 2 3 2 2 2 5 2 4" xfId="22073" xr:uid="{E7CB6C66-FA74-45DB-A9DD-EB4738971D35}"/>
    <cellStyle name="Normal 4 2 2 3 2 2 2 5 3" xfId="6372" xr:uid="{00000000-0005-0000-0000-000006120000}"/>
    <cellStyle name="Normal 4 2 2 3 2 2 2 5 3 2" xfId="15698" xr:uid="{09AC50A1-026B-4874-AA9A-F5524656725F}"/>
    <cellStyle name="Normal 4 2 2 3 2 2 2 5 3 3" xfId="24145" xr:uid="{CC426821-1E0C-4563-BDAF-B80F5FEE6F0F}"/>
    <cellStyle name="Normal 4 2 2 3 2 2 2 5 4" xfId="11481" xr:uid="{1F870A18-2F76-4F57-AADD-AAF0D244DBB6}"/>
    <cellStyle name="Normal 4 2 2 3 2 2 2 5 5" xfId="19928" xr:uid="{99E031A1-AF71-4800-8907-EFF69C8C6126}"/>
    <cellStyle name="Normal 4 2 2 3 2 2 2 6" xfId="2502" xr:uid="{00000000-0005-0000-0000-000007120000}"/>
    <cellStyle name="Normal 4 2 2 3 2 2 2 6 2" xfId="6785" xr:uid="{00000000-0005-0000-0000-000008120000}"/>
    <cellStyle name="Normal 4 2 2 3 2 2 2 6 2 2" xfId="16111" xr:uid="{466EC436-A3A1-4962-BF92-3720A35ECB3D}"/>
    <cellStyle name="Normal 4 2 2 3 2 2 2 6 2 3" xfId="24558" xr:uid="{BFDD7E0F-F611-44DA-B994-6CB7BA956A7C}"/>
    <cellStyle name="Normal 4 2 2 3 2 2 2 6 3" xfId="11894" xr:uid="{545C82B2-B456-4CC0-8C8D-842197A34F24}"/>
    <cellStyle name="Normal 4 2 2 3 2 2 2 6 4" xfId="20341" xr:uid="{4897D9FE-ED37-41CE-843C-29F51F934586}"/>
    <cellStyle name="Normal 4 2 2 3 2 2 2 7" xfId="4720" xr:uid="{00000000-0005-0000-0000-000009120000}"/>
    <cellStyle name="Normal 4 2 2 3 2 2 2 7 2" xfId="14046" xr:uid="{A662E0A0-02BC-412D-9231-548A9BBCBBB7}"/>
    <cellStyle name="Normal 4 2 2 3 2 2 2 7 3" xfId="22493" xr:uid="{5D9BC93E-10D5-4CC7-8D8A-614F579BBC2C}"/>
    <cellStyle name="Normal 4 2 2 3 2 2 2 8" xfId="9129" xr:uid="{970F8072-C8D6-4D17-95D6-EBF431EAD262}"/>
    <cellStyle name="Normal 4 2 2 3 2 2 2 9" xfId="9829" xr:uid="{9228848A-A04D-4C9A-AC69-7B44A6991BA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3F692309-7F90-46E9-BC16-AE7089604F3D}"/>
    <cellStyle name="Normal 4 2 2 3 2 2 3 2 2 3" xfId="25050" xr:uid="{F0632D74-9756-477D-B8AF-AE69E3B392F1}"/>
    <cellStyle name="Normal 4 2 2 3 2 2 3 2 3" xfId="12386" xr:uid="{8181B12B-AC6D-4024-AE35-5C7D26F3B815}"/>
    <cellStyle name="Normal 4 2 2 3 2 2 3 2 4" xfId="20833" xr:uid="{9F90BF9A-3FDA-4747-9337-5F300B06A393}"/>
    <cellStyle name="Normal 4 2 2 3 2 2 3 3" xfId="5132" xr:uid="{00000000-0005-0000-0000-00000D120000}"/>
    <cellStyle name="Normal 4 2 2 3 2 2 3 3 2" xfId="14458" xr:uid="{675079CC-07DF-47FB-8F2F-F30D54C40D5F}"/>
    <cellStyle name="Normal 4 2 2 3 2 2 3 3 3" xfId="22905" xr:uid="{71941381-11F3-48AF-A408-262183F38AC9}"/>
    <cellStyle name="Normal 4 2 2 3 2 2 3 4" xfId="9347" xr:uid="{8C9012CB-19BB-4242-9F43-373358B13B52}"/>
    <cellStyle name="Normal 4 2 2 3 2 2 3 5" xfId="10241" xr:uid="{00C7DC37-4A4B-49DD-9FB4-9260B9E39C43}"/>
    <cellStyle name="Normal 4 2 2 3 2 2 3 6" xfId="18688" xr:uid="{7D36DDBF-9F4D-48B8-AD87-453CB17EEB5E}"/>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B1AC1993-0372-4003-AF9C-EE5559616789}"/>
    <cellStyle name="Normal 4 2 2 3 2 2 4 2 2 3" xfId="25463" xr:uid="{EC3F44AD-4C4A-406A-BC4A-427DD4BC14CE}"/>
    <cellStyle name="Normal 4 2 2 3 2 2 4 2 3" xfId="12799" xr:uid="{D0126B87-FEC6-4B02-9B8F-E33C99723059}"/>
    <cellStyle name="Normal 4 2 2 3 2 2 4 2 4" xfId="21246" xr:uid="{FFBC5098-935D-4971-B740-3FB3087AE459}"/>
    <cellStyle name="Normal 4 2 2 3 2 2 4 3" xfId="5545" xr:uid="{00000000-0005-0000-0000-000011120000}"/>
    <cellStyle name="Normal 4 2 2 3 2 2 4 3 2" xfId="14871" xr:uid="{25D9D6BC-3F88-43DE-A2A1-CAD1582BE3C0}"/>
    <cellStyle name="Normal 4 2 2 3 2 2 4 3 3" xfId="23318" xr:uid="{EA051C85-38C7-4EBC-A1E7-45D02CB40F4F}"/>
    <cellStyle name="Normal 4 2 2 3 2 2 4 4" xfId="10654" xr:uid="{8A0F7022-3D98-4269-998C-0C78387FBC59}"/>
    <cellStyle name="Normal 4 2 2 3 2 2 4 5" xfId="19101" xr:uid="{8CA700EE-DE48-495E-BE51-0CC2741EE08B}"/>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4AB2AA74-177F-4968-A367-9AAC09A9ED18}"/>
    <cellStyle name="Normal 4 2 2 3 2 2 5 2 2 3" xfId="25876" xr:uid="{50843BBA-FA4C-46C4-8BD9-1592D8092EDA}"/>
    <cellStyle name="Normal 4 2 2 3 2 2 5 2 3" xfId="13212" xr:uid="{5A62E123-7470-4128-BB56-0BF14ECDA6C1}"/>
    <cellStyle name="Normal 4 2 2 3 2 2 5 2 4" xfId="21659" xr:uid="{9F0CA1DF-61A9-4AA3-A012-BDC30321471F}"/>
    <cellStyle name="Normal 4 2 2 3 2 2 5 3" xfId="5958" xr:uid="{00000000-0005-0000-0000-000015120000}"/>
    <cellStyle name="Normal 4 2 2 3 2 2 5 3 2" xfId="15284" xr:uid="{9AA90AD4-FAE9-49A7-A557-72A1A389F945}"/>
    <cellStyle name="Normal 4 2 2 3 2 2 5 3 3" xfId="23731" xr:uid="{EB8C7162-170F-4B65-ACD6-CB174784A142}"/>
    <cellStyle name="Normal 4 2 2 3 2 2 5 4" xfId="11067" xr:uid="{8BD30339-5D21-4990-A56D-F558D8C18C43}"/>
    <cellStyle name="Normal 4 2 2 3 2 2 5 5" xfId="19514" xr:uid="{870DE36C-48E7-43FC-869D-6978F20B0A23}"/>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0CFFC482-5BC8-4659-9D88-D9D7B32D5E96}"/>
    <cellStyle name="Normal 4 2 2 3 2 2 6 2 2 3" xfId="26289" xr:uid="{393D2B12-780D-4977-BD53-4AC8D7E031FD}"/>
    <cellStyle name="Normal 4 2 2 3 2 2 6 2 3" xfId="13625" xr:uid="{722004AE-4D97-4759-AA78-A935141D46C9}"/>
    <cellStyle name="Normal 4 2 2 3 2 2 6 2 4" xfId="22072" xr:uid="{1F0E1EA2-BBB1-4AE6-A8CF-D86FC752D380}"/>
    <cellStyle name="Normal 4 2 2 3 2 2 6 3" xfId="6371" xr:uid="{00000000-0005-0000-0000-000019120000}"/>
    <cellStyle name="Normal 4 2 2 3 2 2 6 3 2" xfId="15697" xr:uid="{72797432-7771-43A4-AF7D-1F70A058C03E}"/>
    <cellStyle name="Normal 4 2 2 3 2 2 6 3 3" xfId="24144" xr:uid="{E82CC627-554A-48D9-9C75-26DBA5854524}"/>
    <cellStyle name="Normal 4 2 2 3 2 2 6 4" xfId="11480" xr:uid="{B2AB3926-30C7-4093-9773-65FB969549B2}"/>
    <cellStyle name="Normal 4 2 2 3 2 2 6 5" xfId="19927" xr:uid="{B8843EBC-2E42-4914-97CC-54AD2361D144}"/>
    <cellStyle name="Normal 4 2 2 3 2 2 7" xfId="2501" xr:uid="{00000000-0005-0000-0000-00001A120000}"/>
    <cellStyle name="Normal 4 2 2 3 2 2 7 2" xfId="6784" xr:uid="{00000000-0005-0000-0000-00001B120000}"/>
    <cellStyle name="Normal 4 2 2 3 2 2 7 2 2" xfId="16110" xr:uid="{68D69AF4-B97D-4688-A4AB-6C3EAFEE8178}"/>
    <cellStyle name="Normal 4 2 2 3 2 2 7 2 3" xfId="24557" xr:uid="{8BEB72A4-3CBF-4E99-AD30-3592F90A5DDC}"/>
    <cellStyle name="Normal 4 2 2 3 2 2 7 3" xfId="11893" xr:uid="{ED13ADA7-0E40-48A4-9563-C945A2EAB0ED}"/>
    <cellStyle name="Normal 4 2 2 3 2 2 7 4" xfId="20340" xr:uid="{48E68989-80F3-48F2-A4A0-1BDA56543EF9}"/>
    <cellStyle name="Normal 4 2 2 3 2 2 8" xfId="4719" xr:uid="{00000000-0005-0000-0000-00001C120000}"/>
    <cellStyle name="Normal 4 2 2 3 2 2 8 2" xfId="14045" xr:uid="{960180FD-65C8-468E-9DC7-16DB201ED702}"/>
    <cellStyle name="Normal 4 2 2 3 2 2 8 3" xfId="22492" xr:uid="{A552167A-97B4-41D7-BC81-BC5C549793AC}"/>
    <cellStyle name="Normal 4 2 2 3 2 2 9" xfId="8922" xr:uid="{32C9E21B-8C85-4874-B28C-82BF39BA84E2}"/>
    <cellStyle name="Normal 4 2 2 3 2 3" xfId="343" xr:uid="{00000000-0005-0000-0000-00001D120000}"/>
    <cellStyle name="Normal 4 2 2 3 2 3 10" xfId="18277" xr:uid="{E5899C07-3997-490E-B240-6E6DDEDB3DA9}"/>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614803EC-2C7A-41B4-A71E-4E9281FDE028}"/>
    <cellStyle name="Normal 4 2 2 3 2 3 2 2 2 3" xfId="25052" xr:uid="{F4CBB287-6EB0-4007-B966-16EB46EF6712}"/>
    <cellStyle name="Normal 4 2 2 3 2 3 2 2 3" xfId="12388" xr:uid="{CE8B2131-501F-409D-8D5C-E8F3984EC62E}"/>
    <cellStyle name="Normal 4 2 2 3 2 3 2 2 4" xfId="20835" xr:uid="{61219B51-56CA-419D-9383-5B1373ED658B}"/>
    <cellStyle name="Normal 4 2 2 3 2 3 2 3" xfId="5134" xr:uid="{00000000-0005-0000-0000-000021120000}"/>
    <cellStyle name="Normal 4 2 2 3 2 3 2 3 2" xfId="14460" xr:uid="{318B395B-FD55-4065-B054-059161D30700}"/>
    <cellStyle name="Normal 4 2 2 3 2 3 2 3 3" xfId="22907" xr:uid="{CA7DA976-6D31-41FB-AF23-C501E974FC80}"/>
    <cellStyle name="Normal 4 2 2 3 2 3 2 4" xfId="9451" xr:uid="{85AA9164-95F1-48F2-907A-54AD445D074F}"/>
    <cellStyle name="Normal 4 2 2 3 2 3 2 5" xfId="10243" xr:uid="{66A81EC1-3012-42C9-9A65-47C7CE30BEAF}"/>
    <cellStyle name="Normal 4 2 2 3 2 3 2 6" xfId="18690" xr:uid="{17A01A72-B0D4-45F7-99A7-264C02A9A56A}"/>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495ED944-44B6-426C-B87E-C9BBAA80398D}"/>
    <cellStyle name="Normal 4 2 2 3 2 3 3 2 2 3" xfId="25465" xr:uid="{2C23C4FE-43E7-44AA-A3F0-27EB4F782440}"/>
    <cellStyle name="Normal 4 2 2 3 2 3 3 2 3" xfId="12801" xr:uid="{B1427C94-9E75-4599-A1F8-F72CCE88F5F6}"/>
    <cellStyle name="Normal 4 2 2 3 2 3 3 2 4" xfId="21248" xr:uid="{45EA5E15-88FA-4BAD-8B79-1C086B55A821}"/>
    <cellStyle name="Normal 4 2 2 3 2 3 3 3" xfId="5547" xr:uid="{00000000-0005-0000-0000-000025120000}"/>
    <cellStyle name="Normal 4 2 2 3 2 3 3 3 2" xfId="14873" xr:uid="{7DC5C926-6281-417D-A6CA-85C493267019}"/>
    <cellStyle name="Normal 4 2 2 3 2 3 3 3 3" xfId="23320" xr:uid="{1635992F-DD2E-4617-9B2E-B2BCDCDF6A35}"/>
    <cellStyle name="Normal 4 2 2 3 2 3 3 4" xfId="10656" xr:uid="{0FC6D5DB-FB2A-4430-84B3-8FCDC034DF58}"/>
    <cellStyle name="Normal 4 2 2 3 2 3 3 5" xfId="19103" xr:uid="{D4C4DE3D-F08D-4F93-8693-43C18286FE65}"/>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D4AF65C6-DE4C-4452-A341-D2222D3B186F}"/>
    <cellStyle name="Normal 4 2 2 3 2 3 4 2 2 3" xfId="25878" xr:uid="{07512EEA-BC47-48B1-B127-B7EAF6FF0185}"/>
    <cellStyle name="Normal 4 2 2 3 2 3 4 2 3" xfId="13214" xr:uid="{0CCB3C01-C755-4D6D-AF12-F74F13892BEA}"/>
    <cellStyle name="Normal 4 2 2 3 2 3 4 2 4" xfId="21661" xr:uid="{0311B393-FE23-451A-935F-A4F51FB135A1}"/>
    <cellStyle name="Normal 4 2 2 3 2 3 4 3" xfId="5960" xr:uid="{00000000-0005-0000-0000-000029120000}"/>
    <cellStyle name="Normal 4 2 2 3 2 3 4 3 2" xfId="15286" xr:uid="{DADF2095-413C-4A85-A655-8C11EEFE5442}"/>
    <cellStyle name="Normal 4 2 2 3 2 3 4 3 3" xfId="23733" xr:uid="{6C110433-9FF7-484B-84C5-2A31E2A3F217}"/>
    <cellStyle name="Normal 4 2 2 3 2 3 4 4" xfId="11069" xr:uid="{D87B7E96-89E0-4C7C-BD8F-4D7CA4AEF4F1}"/>
    <cellStyle name="Normal 4 2 2 3 2 3 4 5" xfId="19516" xr:uid="{A8365AAE-6EEE-4296-9ED2-FDC71950CFE8}"/>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3F53E73F-E7EF-4A37-98F0-4E78F2DB3482}"/>
    <cellStyle name="Normal 4 2 2 3 2 3 5 2 2 3" xfId="26291" xr:uid="{C06466A7-37B8-4507-B2A8-2655D32A58BD}"/>
    <cellStyle name="Normal 4 2 2 3 2 3 5 2 3" xfId="13627" xr:uid="{8E45A634-F542-4055-ABEC-9EC475BA5C38}"/>
    <cellStyle name="Normal 4 2 2 3 2 3 5 2 4" xfId="22074" xr:uid="{0B9F3CE0-8107-4740-9BDF-F5378C64DA1F}"/>
    <cellStyle name="Normal 4 2 2 3 2 3 5 3" xfId="6373" xr:uid="{00000000-0005-0000-0000-00002D120000}"/>
    <cellStyle name="Normal 4 2 2 3 2 3 5 3 2" xfId="15699" xr:uid="{244F9832-25C8-4423-80EC-A6272290FF83}"/>
    <cellStyle name="Normal 4 2 2 3 2 3 5 3 3" xfId="24146" xr:uid="{846B654F-F717-490D-AC12-FC0E6AD71CA7}"/>
    <cellStyle name="Normal 4 2 2 3 2 3 5 4" xfId="11482" xr:uid="{C37D56A2-EDD3-4640-BB0E-EE1246D3AEED}"/>
    <cellStyle name="Normal 4 2 2 3 2 3 5 5" xfId="19929" xr:uid="{36117D7E-AFFA-4210-8079-C67984BC44F3}"/>
    <cellStyle name="Normal 4 2 2 3 2 3 6" xfId="2503" xr:uid="{00000000-0005-0000-0000-00002E120000}"/>
    <cellStyle name="Normal 4 2 2 3 2 3 6 2" xfId="6786" xr:uid="{00000000-0005-0000-0000-00002F120000}"/>
    <cellStyle name="Normal 4 2 2 3 2 3 6 2 2" xfId="16112" xr:uid="{E1D09B97-6C09-4A38-966A-C3719BA1A8ED}"/>
    <cellStyle name="Normal 4 2 2 3 2 3 6 2 3" xfId="24559" xr:uid="{DFDB07B5-3017-4997-A267-1E2F67A12042}"/>
    <cellStyle name="Normal 4 2 2 3 2 3 6 3" xfId="11895" xr:uid="{956FBEEA-79CE-4221-AFA2-CD26919529CD}"/>
    <cellStyle name="Normal 4 2 2 3 2 3 6 4" xfId="20342" xr:uid="{33F442CA-0159-45D5-B7BE-6E18A46BD7A1}"/>
    <cellStyle name="Normal 4 2 2 3 2 3 7" xfId="4721" xr:uid="{00000000-0005-0000-0000-000030120000}"/>
    <cellStyle name="Normal 4 2 2 3 2 3 7 2" xfId="14047" xr:uid="{334F6FAD-5CDE-4194-87BB-4068257E8D9C}"/>
    <cellStyle name="Normal 4 2 2 3 2 3 7 3" xfId="22494" xr:uid="{3435FFA0-0D90-47D2-8381-EDD67CBD2DAE}"/>
    <cellStyle name="Normal 4 2 2 3 2 3 8" xfId="9026" xr:uid="{319D63D3-F71C-4F99-9FD1-E3D0665567E8}"/>
    <cellStyle name="Normal 4 2 2 3 2 3 9" xfId="9830" xr:uid="{0C2E228B-3EEF-4487-8C5E-84CF01B499FF}"/>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A9506EBF-4039-4B48-BD2C-1A7648BF4DA4}"/>
    <cellStyle name="Normal 4 2 2 3 2 4 2 2 3" xfId="25049" xr:uid="{BA52AED3-6412-4AEE-8B90-4E60BDF82DBF}"/>
    <cellStyle name="Normal 4 2 2 3 2 4 2 3" xfId="12385" xr:uid="{E821BE64-627A-45C7-B94D-4F8DE85C962A}"/>
    <cellStyle name="Normal 4 2 2 3 2 4 2 4" xfId="20832" xr:uid="{984AEEB7-D75C-4E55-B0F9-E6FB538B056F}"/>
    <cellStyle name="Normal 4 2 2 3 2 4 3" xfId="5131" xr:uid="{00000000-0005-0000-0000-000034120000}"/>
    <cellStyle name="Normal 4 2 2 3 2 4 3 2" xfId="14457" xr:uid="{2E7AB84D-B47F-4F58-987A-FFB0C73600F8}"/>
    <cellStyle name="Normal 4 2 2 3 2 4 3 3" xfId="22904" xr:uid="{7B158FA6-82BC-4AFB-82C0-FF1709009F8B}"/>
    <cellStyle name="Normal 4 2 2 3 2 4 4" xfId="9244" xr:uid="{98623F27-324A-40DE-AA2B-56E1FCE087EE}"/>
    <cellStyle name="Normal 4 2 2 3 2 4 5" xfId="10240" xr:uid="{943F88A9-C2A3-4D83-9B12-7D6EF64EC80F}"/>
    <cellStyle name="Normal 4 2 2 3 2 4 6" xfId="18687" xr:uid="{4CC597F4-0FD8-4E7C-890D-8B3C02A5CFB3}"/>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BEB1FFE9-0236-499F-87BE-89677F93A79D}"/>
    <cellStyle name="Normal 4 2 2 3 2 5 2 2 3" xfId="25462" xr:uid="{02AD89C0-7406-4C3F-85E4-AEFAE4FCEE6A}"/>
    <cellStyle name="Normal 4 2 2 3 2 5 2 3" xfId="12798" xr:uid="{F4939FF1-8544-422C-BC02-31E4EBFD9B74}"/>
    <cellStyle name="Normal 4 2 2 3 2 5 2 4" xfId="21245" xr:uid="{0A54E023-CE2F-4C08-AB35-58D9BE007DA2}"/>
    <cellStyle name="Normal 4 2 2 3 2 5 3" xfId="5544" xr:uid="{00000000-0005-0000-0000-000038120000}"/>
    <cellStyle name="Normal 4 2 2 3 2 5 3 2" xfId="14870" xr:uid="{CEC7CFED-6B72-49CC-88C1-E101D6E9B7FB}"/>
    <cellStyle name="Normal 4 2 2 3 2 5 3 3" xfId="23317" xr:uid="{0D21E605-111C-4E49-BA29-6322D1A6AFCF}"/>
    <cellStyle name="Normal 4 2 2 3 2 5 4" xfId="10653" xr:uid="{3A0EBB4D-57DC-4616-9693-626F0EF84D45}"/>
    <cellStyle name="Normal 4 2 2 3 2 5 5" xfId="19100" xr:uid="{8A98EAFE-7817-4F63-A03E-B4806B21E561}"/>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DC56BB9B-9CCE-44E3-8E7B-23CB383A6336}"/>
    <cellStyle name="Normal 4 2 2 3 2 6 2 2 3" xfId="25875" xr:uid="{5901D46E-BFF7-4743-AD37-7766926A7A8B}"/>
    <cellStyle name="Normal 4 2 2 3 2 6 2 3" xfId="13211" xr:uid="{11BEBE13-9FE3-4515-BB43-D1DD88A4BECE}"/>
    <cellStyle name="Normal 4 2 2 3 2 6 2 4" xfId="21658" xr:uid="{084FA523-5A9E-49C2-9646-F80B233A9977}"/>
    <cellStyle name="Normal 4 2 2 3 2 6 3" xfId="5957" xr:uid="{00000000-0005-0000-0000-00003C120000}"/>
    <cellStyle name="Normal 4 2 2 3 2 6 3 2" xfId="15283" xr:uid="{DFDA1EC2-026F-4E43-AEF7-D5131A3A8E71}"/>
    <cellStyle name="Normal 4 2 2 3 2 6 3 3" xfId="23730" xr:uid="{520C6E7A-6A33-43FF-8F8E-3ED020147A95}"/>
    <cellStyle name="Normal 4 2 2 3 2 6 4" xfId="11066" xr:uid="{965BA3C9-2D0D-4FA8-8213-A6CE4F58D780}"/>
    <cellStyle name="Normal 4 2 2 3 2 6 5" xfId="19513" xr:uid="{5D99A097-DB1C-4231-B7AF-03FCA045DFBF}"/>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F85E716F-AA72-43E0-ADC0-ED60E50A75F3}"/>
    <cellStyle name="Normal 4 2 2 3 2 7 2 2 3" xfId="26288" xr:uid="{57363B70-C545-4AA5-9824-02F7CDE31D6B}"/>
    <cellStyle name="Normal 4 2 2 3 2 7 2 3" xfId="13624" xr:uid="{4CAFD554-98A5-4D42-99A5-95170B47E8BC}"/>
    <cellStyle name="Normal 4 2 2 3 2 7 2 4" xfId="22071" xr:uid="{C8D36D7A-F92F-465E-A4D3-150D23961287}"/>
    <cellStyle name="Normal 4 2 2 3 2 7 3" xfId="6370" xr:uid="{00000000-0005-0000-0000-000040120000}"/>
    <cellStyle name="Normal 4 2 2 3 2 7 3 2" xfId="15696" xr:uid="{CA323CE9-AE8D-4F79-B301-6CA591C2ADEF}"/>
    <cellStyle name="Normal 4 2 2 3 2 7 3 3" xfId="24143" xr:uid="{67280CBD-8A92-4DEF-AAD9-4A3AD32A7091}"/>
    <cellStyle name="Normal 4 2 2 3 2 7 4" xfId="11479" xr:uid="{6EF67D6B-D24B-48BF-B725-A68590855A56}"/>
    <cellStyle name="Normal 4 2 2 3 2 7 5" xfId="19926" xr:uid="{409E6F16-3716-475B-9EC6-9BCFBC92FC15}"/>
    <cellStyle name="Normal 4 2 2 3 2 8" xfId="2500" xr:uid="{00000000-0005-0000-0000-000041120000}"/>
    <cellStyle name="Normal 4 2 2 3 2 8 2" xfId="6783" xr:uid="{00000000-0005-0000-0000-000042120000}"/>
    <cellStyle name="Normal 4 2 2 3 2 8 2 2" xfId="16109" xr:uid="{D8DBB536-58D9-406A-8F98-A171A36E9A7A}"/>
    <cellStyle name="Normal 4 2 2 3 2 8 2 3" xfId="24556" xr:uid="{A63421EA-B697-478C-BEF2-7608712A5F67}"/>
    <cellStyle name="Normal 4 2 2 3 2 8 3" xfId="11892" xr:uid="{7F117993-17B3-49DC-BBFD-F08648503298}"/>
    <cellStyle name="Normal 4 2 2 3 2 8 4" xfId="20339" xr:uid="{C63796C4-DFC0-47E1-9649-F4224A8693C0}"/>
    <cellStyle name="Normal 4 2 2 3 2 9" xfId="4718" xr:uid="{00000000-0005-0000-0000-000043120000}"/>
    <cellStyle name="Normal 4 2 2 3 2 9 2" xfId="14044" xr:uid="{C96862F8-9ECF-4E65-A07A-B68625F7333E}"/>
    <cellStyle name="Normal 4 2 2 3 2 9 3" xfId="22491" xr:uid="{C2B98CEB-331A-49D9-92BF-9846EE2D674A}"/>
    <cellStyle name="Normal 4 2 2 3 3" xfId="344" xr:uid="{00000000-0005-0000-0000-000044120000}"/>
    <cellStyle name="Normal 4 2 2 3 3 10" xfId="9831" xr:uid="{1161A01C-9E7A-4A9B-938E-DD5FCC206C12}"/>
    <cellStyle name="Normal 4 2 2 3 3 11" xfId="18278" xr:uid="{4B4F9CCF-AD5A-407D-8360-855E844064EC}"/>
    <cellStyle name="Normal 4 2 2 3 3 2" xfId="345" xr:uid="{00000000-0005-0000-0000-000045120000}"/>
    <cellStyle name="Normal 4 2 2 3 3 2 10" xfId="18279" xr:uid="{E71A85CA-305C-41C7-A9D3-EDC4B09A1B3C}"/>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9E720560-C778-43A2-92F5-A42179AA8828}"/>
    <cellStyle name="Normal 4 2 2 3 3 2 2 2 2 3" xfId="25054" xr:uid="{DDED5297-2ADC-457D-B030-C67321816495}"/>
    <cellStyle name="Normal 4 2 2 3 3 2 2 2 3" xfId="12390" xr:uid="{9C1D77C3-3292-43B1-B2B1-D6437D503ED7}"/>
    <cellStyle name="Normal 4 2 2 3 3 2 2 2 4" xfId="20837" xr:uid="{E83F6591-E7AA-4E3E-9BF2-3CD160BC52D9}"/>
    <cellStyle name="Normal 4 2 2 3 3 2 2 3" xfId="5136" xr:uid="{00000000-0005-0000-0000-000049120000}"/>
    <cellStyle name="Normal 4 2 2 3 3 2 2 3 2" xfId="14462" xr:uid="{ED47328D-F9A0-495B-9A72-9EE2E429EB86}"/>
    <cellStyle name="Normal 4 2 2 3 3 2 2 3 3" xfId="22909" xr:uid="{8169FA26-AEEB-48AA-83DE-329BD4B3B003}"/>
    <cellStyle name="Normal 4 2 2 3 3 2 2 4" xfId="9519" xr:uid="{FB4BBD6E-D73B-4ABD-8656-6C15D7932E02}"/>
    <cellStyle name="Normal 4 2 2 3 3 2 2 5" xfId="10245" xr:uid="{86A5636F-CC45-4109-BA34-77B972C20775}"/>
    <cellStyle name="Normal 4 2 2 3 3 2 2 6" xfId="18692" xr:uid="{40917018-5675-48AA-9F3E-571CAD0431D8}"/>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E45D2A37-1921-4865-93AD-CF2283F9A0BD}"/>
    <cellStyle name="Normal 4 2 2 3 3 2 3 2 2 3" xfId="25467" xr:uid="{89E623B8-42F1-4F27-9B0A-EB853A35D085}"/>
    <cellStyle name="Normal 4 2 2 3 3 2 3 2 3" xfId="12803" xr:uid="{67EBA126-9157-4CA0-AFBB-C66F54A4772E}"/>
    <cellStyle name="Normal 4 2 2 3 3 2 3 2 4" xfId="21250" xr:uid="{628A2EAC-F17F-4BD1-AEA6-6E4D90664976}"/>
    <cellStyle name="Normal 4 2 2 3 3 2 3 3" xfId="5549" xr:uid="{00000000-0005-0000-0000-00004D120000}"/>
    <cellStyle name="Normal 4 2 2 3 3 2 3 3 2" xfId="14875" xr:uid="{CDF396B0-9C32-4BEF-A625-A1C8D4427E2D}"/>
    <cellStyle name="Normal 4 2 2 3 3 2 3 3 3" xfId="23322" xr:uid="{2655A70B-1CB0-47A1-97FA-2E15BCA65D86}"/>
    <cellStyle name="Normal 4 2 2 3 3 2 3 4" xfId="10658" xr:uid="{16D8FDCD-3963-4EC7-9F89-AF9BD2DC6751}"/>
    <cellStyle name="Normal 4 2 2 3 3 2 3 5" xfId="19105" xr:uid="{EBFFD70E-F858-4353-A9B6-325F9490A8BE}"/>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33E3E147-F5F8-49C3-A6D5-9A43A125D60A}"/>
    <cellStyle name="Normal 4 2 2 3 3 2 4 2 2 3" xfId="25880" xr:uid="{26983C73-BA88-4199-AA66-D028ECB371EA}"/>
    <cellStyle name="Normal 4 2 2 3 3 2 4 2 3" xfId="13216" xr:uid="{FC91200E-549E-4C05-A869-E13944021CDB}"/>
    <cellStyle name="Normal 4 2 2 3 3 2 4 2 4" xfId="21663" xr:uid="{3F576DC7-B13E-4638-92A4-878DD76EC84A}"/>
    <cellStyle name="Normal 4 2 2 3 3 2 4 3" xfId="5962" xr:uid="{00000000-0005-0000-0000-000051120000}"/>
    <cellStyle name="Normal 4 2 2 3 3 2 4 3 2" xfId="15288" xr:uid="{E8CA4BE1-4179-4E84-9F9C-54FCC0F889DF}"/>
    <cellStyle name="Normal 4 2 2 3 3 2 4 3 3" xfId="23735" xr:uid="{C87BBE57-B8B1-4D95-BB01-19149BF94EE1}"/>
    <cellStyle name="Normal 4 2 2 3 3 2 4 4" xfId="11071" xr:uid="{F52851AB-D1B0-435D-86A7-4185FC4B2929}"/>
    <cellStyle name="Normal 4 2 2 3 3 2 4 5" xfId="19518" xr:uid="{B00742F2-C1A8-46C0-BC89-E172CDCA835C}"/>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73D29348-73D8-47E8-910C-E98EA1F07CE9}"/>
    <cellStyle name="Normal 4 2 2 3 3 2 5 2 2 3" xfId="26293" xr:uid="{EC1479C6-8594-4BCF-8684-9B7AAA569171}"/>
    <cellStyle name="Normal 4 2 2 3 3 2 5 2 3" xfId="13629" xr:uid="{13F2948C-3B20-4B57-81DE-AA578FAC379E}"/>
    <cellStyle name="Normal 4 2 2 3 3 2 5 2 4" xfId="22076" xr:uid="{04C9FBB5-39B2-43DB-9BBE-CC013C5A30C5}"/>
    <cellStyle name="Normal 4 2 2 3 3 2 5 3" xfId="6375" xr:uid="{00000000-0005-0000-0000-000055120000}"/>
    <cellStyle name="Normal 4 2 2 3 3 2 5 3 2" xfId="15701" xr:uid="{19A2A11D-9099-469E-8AB1-2270377FC0AC}"/>
    <cellStyle name="Normal 4 2 2 3 3 2 5 3 3" xfId="24148" xr:uid="{F718E5BE-F3CD-4E03-9922-14ACD35E7F61}"/>
    <cellStyle name="Normal 4 2 2 3 3 2 5 4" xfId="11484" xr:uid="{A4BB19FF-C3AC-44CA-B980-9282B5D9B2BB}"/>
    <cellStyle name="Normal 4 2 2 3 3 2 5 5" xfId="19931" xr:uid="{6CB4720A-8C4D-496E-BEE8-14813658D8F1}"/>
    <cellStyle name="Normal 4 2 2 3 3 2 6" xfId="2505" xr:uid="{00000000-0005-0000-0000-000056120000}"/>
    <cellStyle name="Normal 4 2 2 3 3 2 6 2" xfId="6788" xr:uid="{00000000-0005-0000-0000-000057120000}"/>
    <cellStyle name="Normal 4 2 2 3 3 2 6 2 2" xfId="16114" xr:uid="{178EFDB2-E722-4480-AF0E-209F35DE4E6A}"/>
    <cellStyle name="Normal 4 2 2 3 3 2 6 2 3" xfId="24561" xr:uid="{7741E7C2-90F4-4458-AB18-4320E0EDC47B}"/>
    <cellStyle name="Normal 4 2 2 3 3 2 6 3" xfId="11897" xr:uid="{C4CD25BC-FF7D-40CB-810E-0BC927276DB6}"/>
    <cellStyle name="Normal 4 2 2 3 3 2 6 4" xfId="20344" xr:uid="{F398C1CE-ABDA-476B-81CC-F4BD72C999D5}"/>
    <cellStyle name="Normal 4 2 2 3 3 2 7" xfId="4723" xr:uid="{00000000-0005-0000-0000-000058120000}"/>
    <cellStyle name="Normal 4 2 2 3 3 2 7 2" xfId="14049" xr:uid="{0D01F712-CD19-43DA-A011-BC8D1A168C99}"/>
    <cellStyle name="Normal 4 2 2 3 3 2 7 3" xfId="22496" xr:uid="{CFBA68A3-D103-484A-AF42-C194FFD14764}"/>
    <cellStyle name="Normal 4 2 2 3 3 2 8" xfId="9094" xr:uid="{1333D468-E252-4686-88C1-38A56B910A8E}"/>
    <cellStyle name="Normal 4 2 2 3 3 2 9" xfId="9832" xr:uid="{775547E7-6EA5-4E9B-A3B9-74FC1139EA46}"/>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318722D4-5FCE-4EA4-BF87-52BAA3664A9E}"/>
    <cellStyle name="Normal 4 2 2 3 3 3 2 2 3" xfId="25053" xr:uid="{5AC359C6-AD8E-4868-9024-06EF9DAF6C29}"/>
    <cellStyle name="Normal 4 2 2 3 3 3 2 3" xfId="12389" xr:uid="{81002947-705E-4D65-B3F3-F33ADFB94F76}"/>
    <cellStyle name="Normal 4 2 2 3 3 3 2 4" xfId="20836" xr:uid="{020EF94C-1CFB-420E-BF9D-84BE59CB9080}"/>
    <cellStyle name="Normal 4 2 2 3 3 3 3" xfId="5135" xr:uid="{00000000-0005-0000-0000-00005C120000}"/>
    <cellStyle name="Normal 4 2 2 3 3 3 3 2" xfId="14461" xr:uid="{C6AC4B0E-C70A-492F-8A69-8D02AEC0A136}"/>
    <cellStyle name="Normal 4 2 2 3 3 3 3 3" xfId="22908" xr:uid="{BC1D6918-819F-46A9-BFDA-4A7EA5D5FFAF}"/>
    <cellStyle name="Normal 4 2 2 3 3 3 4" xfId="9312" xr:uid="{0065946C-778C-4913-8F8B-68BBB1A30769}"/>
    <cellStyle name="Normal 4 2 2 3 3 3 5" xfId="10244" xr:uid="{86CB9427-F7D2-4174-A78B-66842F6061B4}"/>
    <cellStyle name="Normal 4 2 2 3 3 3 6" xfId="18691" xr:uid="{977F4F16-F60B-47EB-B1CE-C35A867B6184}"/>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5DE38CB0-A9DA-42B5-A495-DD67208D6C90}"/>
    <cellStyle name="Normal 4 2 2 3 3 4 2 2 3" xfId="25466" xr:uid="{0743C187-3A8E-4591-8D5A-8C25B70A053C}"/>
    <cellStyle name="Normal 4 2 2 3 3 4 2 3" xfId="12802" xr:uid="{3E208902-99D4-4EF8-9CBF-787CBD0872C1}"/>
    <cellStyle name="Normal 4 2 2 3 3 4 2 4" xfId="21249" xr:uid="{60FE792B-AF08-444F-B320-4669F0CD02B4}"/>
    <cellStyle name="Normal 4 2 2 3 3 4 3" xfId="5548" xr:uid="{00000000-0005-0000-0000-000060120000}"/>
    <cellStyle name="Normal 4 2 2 3 3 4 3 2" xfId="14874" xr:uid="{F609B069-9CC6-454B-AD9A-80BE052ED82A}"/>
    <cellStyle name="Normal 4 2 2 3 3 4 3 3" xfId="23321" xr:uid="{ED9AF8C1-9151-4E04-A2F0-62186A8F19F1}"/>
    <cellStyle name="Normal 4 2 2 3 3 4 4" xfId="10657" xr:uid="{2ACB5F54-E5AC-425E-A502-8EE11F693675}"/>
    <cellStyle name="Normal 4 2 2 3 3 4 5" xfId="19104" xr:uid="{142F49BB-E74D-4DEB-96EF-B1ABC5BB8F48}"/>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DDB9C077-602E-4C58-8B78-685DE3A171D9}"/>
    <cellStyle name="Normal 4 2 2 3 3 5 2 2 3" xfId="25879" xr:uid="{CEF8895B-6665-4310-8DDF-7E4D985AEE93}"/>
    <cellStyle name="Normal 4 2 2 3 3 5 2 3" xfId="13215" xr:uid="{AD2B4492-2DB3-45C7-8618-F156CD79CE6D}"/>
    <cellStyle name="Normal 4 2 2 3 3 5 2 4" xfId="21662" xr:uid="{A91C7F90-67FC-44B6-9156-E4E42967AF51}"/>
    <cellStyle name="Normal 4 2 2 3 3 5 3" xfId="5961" xr:uid="{00000000-0005-0000-0000-000064120000}"/>
    <cellStyle name="Normal 4 2 2 3 3 5 3 2" xfId="15287" xr:uid="{A5F69E47-DE00-4B63-88D6-75CA9A0885A6}"/>
    <cellStyle name="Normal 4 2 2 3 3 5 3 3" xfId="23734" xr:uid="{DED43D03-EA67-45B8-9146-2BB32636508A}"/>
    <cellStyle name="Normal 4 2 2 3 3 5 4" xfId="11070" xr:uid="{89255531-1F65-4D95-BDF5-6F7BB9772B7E}"/>
    <cellStyle name="Normal 4 2 2 3 3 5 5" xfId="19517" xr:uid="{0127C3AF-0851-46F0-BF78-6EF63F0B6DE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7F800EEE-5D76-44D0-AFDE-BF957F495338}"/>
    <cellStyle name="Normal 4 2 2 3 3 6 2 2 3" xfId="26292" xr:uid="{4330198A-F91C-4BE7-8BE1-F21C9EE9D9F5}"/>
    <cellStyle name="Normal 4 2 2 3 3 6 2 3" xfId="13628" xr:uid="{18F44277-F75D-42E1-BD5E-E652F6EC577B}"/>
    <cellStyle name="Normal 4 2 2 3 3 6 2 4" xfId="22075" xr:uid="{ABE84E58-A85C-4787-8B5C-2464DE04C752}"/>
    <cellStyle name="Normal 4 2 2 3 3 6 3" xfId="6374" xr:uid="{00000000-0005-0000-0000-000068120000}"/>
    <cellStyle name="Normal 4 2 2 3 3 6 3 2" xfId="15700" xr:uid="{3DD88865-57BF-465E-8905-BDF4C5060027}"/>
    <cellStyle name="Normal 4 2 2 3 3 6 3 3" xfId="24147" xr:uid="{6DCD5514-8D4F-4C01-9F97-5FF66859229C}"/>
    <cellStyle name="Normal 4 2 2 3 3 6 4" xfId="11483" xr:uid="{8FC2C537-E0BC-4B68-A6D7-028FAFE762EA}"/>
    <cellStyle name="Normal 4 2 2 3 3 6 5" xfId="19930" xr:uid="{CCD6C460-8397-4CB6-BB6D-00E109347D50}"/>
    <cellStyle name="Normal 4 2 2 3 3 7" xfId="2504" xr:uid="{00000000-0005-0000-0000-000069120000}"/>
    <cellStyle name="Normal 4 2 2 3 3 7 2" xfId="6787" xr:uid="{00000000-0005-0000-0000-00006A120000}"/>
    <cellStyle name="Normal 4 2 2 3 3 7 2 2" xfId="16113" xr:uid="{852E6671-F858-40CB-8B39-97C85D071EBF}"/>
    <cellStyle name="Normal 4 2 2 3 3 7 2 3" xfId="24560" xr:uid="{823D9C97-4FBA-4ACD-B3BC-78FCDA3DE86B}"/>
    <cellStyle name="Normal 4 2 2 3 3 7 3" xfId="11896" xr:uid="{BB958606-2B82-4026-A0FF-1FC692A40DC5}"/>
    <cellStyle name="Normal 4 2 2 3 3 7 4" xfId="20343" xr:uid="{4E5B01FA-5797-4EEA-BAE0-114F6D9F4D31}"/>
    <cellStyle name="Normal 4 2 2 3 3 8" xfId="4722" xr:uid="{00000000-0005-0000-0000-00006B120000}"/>
    <cellStyle name="Normal 4 2 2 3 3 8 2" xfId="14048" xr:uid="{840682AE-759D-4B88-BBA1-98CC384128DE}"/>
    <cellStyle name="Normal 4 2 2 3 3 8 3" xfId="22495" xr:uid="{B1D45254-924C-480A-BFE5-694331AA37F4}"/>
    <cellStyle name="Normal 4 2 2 3 3 9" xfId="8887" xr:uid="{FD79599D-FD4F-44F4-A7A6-B948A2C15DD2}"/>
    <cellStyle name="Normal 4 2 2 3 4" xfId="346" xr:uid="{00000000-0005-0000-0000-00006C120000}"/>
    <cellStyle name="Normal 4 2 2 3 4 10" xfId="18280" xr:uid="{5D8B05B4-030D-4FA6-89F4-B7F2698CE27F}"/>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577CEB05-22E5-4E3D-863D-75517C5BE1DD}"/>
    <cellStyle name="Normal 4 2 2 3 4 2 2 2 3" xfId="25055" xr:uid="{14469B2D-91DE-4835-A063-6256B232A765}"/>
    <cellStyle name="Normal 4 2 2 3 4 2 2 3" xfId="12391" xr:uid="{D5C21F01-E391-4108-A3B9-80E9C8E90244}"/>
    <cellStyle name="Normal 4 2 2 3 4 2 2 4" xfId="20838" xr:uid="{CE3BEF11-F287-4244-8C99-710AE12E79AF}"/>
    <cellStyle name="Normal 4 2 2 3 4 2 3" xfId="5137" xr:uid="{00000000-0005-0000-0000-000070120000}"/>
    <cellStyle name="Normal 4 2 2 3 4 2 3 2" xfId="14463" xr:uid="{9CB1BCDC-DC0C-402C-875D-6659F3091C6D}"/>
    <cellStyle name="Normal 4 2 2 3 4 2 3 3" xfId="22910" xr:uid="{68615B4B-C6D9-4F15-8141-D86A878C486F}"/>
    <cellStyle name="Normal 4 2 2 3 4 2 4" xfId="9416" xr:uid="{B0F1A5CD-0EDE-48A7-9669-6902681F696C}"/>
    <cellStyle name="Normal 4 2 2 3 4 2 5" xfId="10246" xr:uid="{9A5B6CEC-6154-4955-91A0-6B0E245E0D25}"/>
    <cellStyle name="Normal 4 2 2 3 4 2 6" xfId="18693" xr:uid="{9B922499-2ABB-4212-B2A3-86061A7DE80F}"/>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9C65782C-C8BF-477A-B0F8-106BD35A3DF5}"/>
    <cellStyle name="Normal 4 2 2 3 4 3 2 2 3" xfId="25468" xr:uid="{25427F83-7C89-40B2-AA68-FFE2C6AFC05F}"/>
    <cellStyle name="Normal 4 2 2 3 4 3 2 3" xfId="12804" xr:uid="{8F239C8B-0805-4CEC-8D10-A12D8AB36FBF}"/>
    <cellStyle name="Normal 4 2 2 3 4 3 2 4" xfId="21251" xr:uid="{F94C622E-756F-428E-ACCC-9364B1416B0A}"/>
    <cellStyle name="Normal 4 2 2 3 4 3 3" xfId="5550" xr:uid="{00000000-0005-0000-0000-000074120000}"/>
    <cellStyle name="Normal 4 2 2 3 4 3 3 2" xfId="14876" xr:uid="{5770D112-B93D-4A5B-9AA7-BE0A1DFC1A21}"/>
    <cellStyle name="Normal 4 2 2 3 4 3 3 3" xfId="23323" xr:uid="{3F9E3347-C26A-4CE8-B14B-4EABD01F6913}"/>
    <cellStyle name="Normal 4 2 2 3 4 3 4" xfId="10659" xr:uid="{3AF265CF-88AD-45CC-9ED1-10F53A294242}"/>
    <cellStyle name="Normal 4 2 2 3 4 3 5" xfId="19106" xr:uid="{BCE2AC40-DF21-4E8F-9B42-EEDB7EEB34B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D7224255-FB7A-409E-BE2B-BAF37C33A0F7}"/>
    <cellStyle name="Normal 4 2 2 3 4 4 2 2 3" xfId="25881" xr:uid="{2C38F781-2E30-4689-A88E-12E6C4739464}"/>
    <cellStyle name="Normal 4 2 2 3 4 4 2 3" xfId="13217" xr:uid="{1BAD7CEA-6617-40A1-9466-E5B4729B7AEE}"/>
    <cellStyle name="Normal 4 2 2 3 4 4 2 4" xfId="21664" xr:uid="{CB7C1D88-4FE6-46C7-A4F1-6A1957B31144}"/>
    <cellStyle name="Normal 4 2 2 3 4 4 3" xfId="5963" xr:uid="{00000000-0005-0000-0000-000078120000}"/>
    <cellStyle name="Normal 4 2 2 3 4 4 3 2" xfId="15289" xr:uid="{222F6032-B80C-4E08-95A4-8A1F493C5C8D}"/>
    <cellStyle name="Normal 4 2 2 3 4 4 3 3" xfId="23736" xr:uid="{5E28F2D2-D902-4C95-83DD-7F2B02676517}"/>
    <cellStyle name="Normal 4 2 2 3 4 4 4" xfId="11072" xr:uid="{41AE175C-1D85-4329-B88C-A36A595278D6}"/>
    <cellStyle name="Normal 4 2 2 3 4 4 5" xfId="19519" xr:uid="{633F4079-8D78-48DE-A60F-2FD855F32E46}"/>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4DA0314C-F935-49B5-B101-54698A70C4E4}"/>
    <cellStyle name="Normal 4 2 2 3 4 5 2 2 3" xfId="26294" xr:uid="{F452CCD1-8789-469A-B250-3861BF36ADD2}"/>
    <cellStyle name="Normal 4 2 2 3 4 5 2 3" xfId="13630" xr:uid="{5F3FF6A4-3963-4CD6-AC2D-E749B9D67E25}"/>
    <cellStyle name="Normal 4 2 2 3 4 5 2 4" xfId="22077" xr:uid="{604542B0-5430-416A-B4B3-B26AE3EED1B3}"/>
    <cellStyle name="Normal 4 2 2 3 4 5 3" xfId="6376" xr:uid="{00000000-0005-0000-0000-00007C120000}"/>
    <cellStyle name="Normal 4 2 2 3 4 5 3 2" xfId="15702" xr:uid="{8CEA63BF-873C-4C94-BFD0-5D6B0ACB9B52}"/>
    <cellStyle name="Normal 4 2 2 3 4 5 3 3" xfId="24149" xr:uid="{5BB36FCD-D783-4FFF-B147-2C3B88BA59E8}"/>
    <cellStyle name="Normal 4 2 2 3 4 5 4" xfId="11485" xr:uid="{8F4AE0B3-2CB3-436A-A35E-6163E0345BA3}"/>
    <cellStyle name="Normal 4 2 2 3 4 5 5" xfId="19932" xr:uid="{8F90A445-D0C4-41D3-8EAD-0D0FB73AC5C5}"/>
    <cellStyle name="Normal 4 2 2 3 4 6" xfId="2506" xr:uid="{00000000-0005-0000-0000-00007D120000}"/>
    <cellStyle name="Normal 4 2 2 3 4 6 2" xfId="6789" xr:uid="{00000000-0005-0000-0000-00007E120000}"/>
    <cellStyle name="Normal 4 2 2 3 4 6 2 2" xfId="16115" xr:uid="{E75A7307-3F42-4F4B-9C8A-CC6976F463FE}"/>
    <cellStyle name="Normal 4 2 2 3 4 6 2 3" xfId="24562" xr:uid="{10496BEA-DA24-4BA7-87A0-8336340F4415}"/>
    <cellStyle name="Normal 4 2 2 3 4 6 3" xfId="11898" xr:uid="{76C30B27-6175-4564-A9BF-AAE24DF335AB}"/>
    <cellStyle name="Normal 4 2 2 3 4 6 4" xfId="20345" xr:uid="{8C65AB0F-22E6-4AA0-B92A-732561AB30ED}"/>
    <cellStyle name="Normal 4 2 2 3 4 7" xfId="4724" xr:uid="{00000000-0005-0000-0000-00007F120000}"/>
    <cellStyle name="Normal 4 2 2 3 4 7 2" xfId="14050" xr:uid="{114C0562-1D2E-4968-88BA-E2E94DEE4724}"/>
    <cellStyle name="Normal 4 2 2 3 4 7 3" xfId="22497" xr:uid="{4F464EB5-C60F-40BC-9678-37E0DE49CC08}"/>
    <cellStyle name="Normal 4 2 2 3 4 8" xfId="8991" xr:uid="{84464EC3-90C2-4B18-8399-135C935528F7}"/>
    <cellStyle name="Normal 4 2 2 3 4 9" xfId="9833" xr:uid="{298E508C-072C-48B6-AC37-529F07C2E8F3}"/>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E190E4A6-562D-4B32-96DC-CFEF9D1B9DBE}"/>
    <cellStyle name="Normal 4 2 2 3 5 2 2 3" xfId="25048" xr:uid="{CD76E56D-7E40-49B8-B45B-E23FDA035900}"/>
    <cellStyle name="Normal 4 2 2 3 5 2 3" xfId="12384" xr:uid="{400784E0-8839-4570-8086-4F37E6D287A5}"/>
    <cellStyle name="Normal 4 2 2 3 5 2 4" xfId="20831" xr:uid="{625FE68B-4488-495F-B0D8-13D0DA9D9376}"/>
    <cellStyle name="Normal 4 2 2 3 5 3" xfId="5130" xr:uid="{00000000-0005-0000-0000-000083120000}"/>
    <cellStyle name="Normal 4 2 2 3 5 3 2" xfId="14456" xr:uid="{04585986-1B28-4DEF-8E06-68E5F8AB850E}"/>
    <cellStyle name="Normal 4 2 2 3 5 3 3" xfId="22903" xr:uid="{EAF82464-DEB6-4BAD-9208-1E9BA33EB704}"/>
    <cellStyle name="Normal 4 2 2 3 5 4" xfId="9208" xr:uid="{7BF9CD11-B90D-42F2-928D-A8BE344C6F46}"/>
    <cellStyle name="Normal 4 2 2 3 5 5" xfId="10239" xr:uid="{076F0730-3270-460D-88BE-69848CF768D2}"/>
    <cellStyle name="Normal 4 2 2 3 5 6" xfId="18686" xr:uid="{C67518D1-E4DF-4333-973B-CB5A5DFDF82E}"/>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6F8CF836-D9D5-4810-B301-78E3FBA9F98D}"/>
    <cellStyle name="Normal 4 2 2 3 6 2 2 3" xfId="25461" xr:uid="{124B91D3-6FB2-4B2B-9324-BB9149B4D321}"/>
    <cellStyle name="Normal 4 2 2 3 6 2 3" xfId="12797" xr:uid="{B71E9845-1021-4DC3-B0D1-A6F851198020}"/>
    <cellStyle name="Normal 4 2 2 3 6 2 4" xfId="21244" xr:uid="{92651999-CF00-406C-AD79-E37BD806584C}"/>
    <cellStyle name="Normal 4 2 2 3 6 3" xfId="5543" xr:uid="{00000000-0005-0000-0000-000087120000}"/>
    <cellStyle name="Normal 4 2 2 3 6 3 2" xfId="14869" xr:uid="{4F27B63E-0F47-4E6B-8E9B-1F1DE0B5870F}"/>
    <cellStyle name="Normal 4 2 2 3 6 3 3" xfId="23316" xr:uid="{AB207E33-980B-44FE-8652-83A529164266}"/>
    <cellStyle name="Normal 4 2 2 3 6 4" xfId="10652" xr:uid="{8FA95F42-F892-4579-BF3B-19BB4BFEAFB6}"/>
    <cellStyle name="Normal 4 2 2 3 6 5" xfId="19099" xr:uid="{1648B76F-360B-4477-8281-4C43766D8FF2}"/>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0D2DF6C4-478C-4CEA-949E-29FA5A8C751E}"/>
    <cellStyle name="Normal 4 2 2 3 7 2 2 3" xfId="25874" xr:uid="{5BE55CFD-9886-4A82-A5D3-64E79AC511C7}"/>
    <cellStyle name="Normal 4 2 2 3 7 2 3" xfId="13210" xr:uid="{477E42EE-03F2-4ADD-9D2D-2E2DD748CECA}"/>
    <cellStyle name="Normal 4 2 2 3 7 2 4" xfId="21657" xr:uid="{2FB56199-9ADF-402E-B9F6-4CA01745D238}"/>
    <cellStyle name="Normal 4 2 2 3 7 3" xfId="5956" xr:uid="{00000000-0005-0000-0000-00008B120000}"/>
    <cellStyle name="Normal 4 2 2 3 7 3 2" xfId="15282" xr:uid="{3FA43AB7-549A-4048-BC62-829318BD07C4}"/>
    <cellStyle name="Normal 4 2 2 3 7 3 3" xfId="23729" xr:uid="{07998357-7405-413A-9168-6E4657FA0918}"/>
    <cellStyle name="Normal 4 2 2 3 7 4" xfId="11065" xr:uid="{37962C75-02D0-473B-B896-CCA1ECEAD107}"/>
    <cellStyle name="Normal 4 2 2 3 7 5" xfId="19512" xr:uid="{DD71A4E1-23FC-4707-B9E2-408E7452CDE9}"/>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F616E5AE-3BCC-4214-A3FC-B93C443686A1}"/>
    <cellStyle name="Normal 4 2 2 3 8 2 2 3" xfId="26287" xr:uid="{B60E8DEF-8A35-4E1A-931A-9ECB8649781B}"/>
    <cellStyle name="Normal 4 2 2 3 8 2 3" xfId="13623" xr:uid="{3EFFEDB3-30EA-4F60-B280-DD3615928B0A}"/>
    <cellStyle name="Normal 4 2 2 3 8 2 4" xfId="22070" xr:uid="{F9B99BE8-AC39-46BB-89FC-06FA998673E4}"/>
    <cellStyle name="Normal 4 2 2 3 8 3" xfId="6369" xr:uid="{00000000-0005-0000-0000-00008F120000}"/>
    <cellStyle name="Normal 4 2 2 3 8 3 2" xfId="15695" xr:uid="{C902FD1B-70E7-49A3-BDEA-219685D70C27}"/>
    <cellStyle name="Normal 4 2 2 3 8 3 3" xfId="24142" xr:uid="{86CFF434-266C-4D15-ADC9-2FC2BED0DFE6}"/>
    <cellStyle name="Normal 4 2 2 3 8 4" xfId="11478" xr:uid="{B51A2AA6-27D9-46C1-BEB7-E7F6F407D58F}"/>
    <cellStyle name="Normal 4 2 2 3 8 5" xfId="19925" xr:uid="{D1574733-85B4-4ECF-ADE8-CAA4C8599DF8}"/>
    <cellStyle name="Normal 4 2 2 3 9" xfId="2499" xr:uid="{00000000-0005-0000-0000-000090120000}"/>
    <cellStyle name="Normal 4 2 2 3 9 2" xfId="6782" xr:uid="{00000000-0005-0000-0000-000091120000}"/>
    <cellStyle name="Normal 4 2 2 3 9 2 2" xfId="16108" xr:uid="{43124BB9-C327-4FC4-8D0B-E8BFD4EFB449}"/>
    <cellStyle name="Normal 4 2 2 3 9 2 3" xfId="24555" xr:uid="{43A6C173-0C38-464F-8970-E626FDE9559E}"/>
    <cellStyle name="Normal 4 2 2 3 9 3" xfId="11891" xr:uid="{BD6CEC21-6C6E-4A68-9E61-B3DCE784E6E8}"/>
    <cellStyle name="Normal 4 2 2 3 9 4" xfId="20338" xr:uid="{3F3B909E-B614-461B-9341-51B31B73B62B}"/>
    <cellStyle name="Normal 4 2 2 4" xfId="347" xr:uid="{00000000-0005-0000-0000-000092120000}"/>
    <cellStyle name="Normal 4 2 2 4 10" xfId="8818" xr:uid="{A73977A7-52C6-4368-9F59-166E1B99BBDE}"/>
    <cellStyle name="Normal 4 2 2 4 11" xfId="9834" xr:uid="{62B67A11-D131-4AFB-B0DA-0A078A21E397}"/>
    <cellStyle name="Normal 4 2 2 4 12" xfId="18281" xr:uid="{43B58E7D-F5E2-4555-BE87-5613B354CA9B}"/>
    <cellStyle name="Normal 4 2 2 4 2" xfId="348" xr:uid="{00000000-0005-0000-0000-000093120000}"/>
    <cellStyle name="Normal 4 2 2 4 2 10" xfId="9835" xr:uid="{292DB1A9-FD60-4EEB-BE55-D0A50AB9C329}"/>
    <cellStyle name="Normal 4 2 2 4 2 11" xfId="18282" xr:uid="{5C3DE6E4-F344-4522-921D-B66359C92D8B}"/>
    <cellStyle name="Normal 4 2 2 4 2 2" xfId="349" xr:uid="{00000000-0005-0000-0000-000094120000}"/>
    <cellStyle name="Normal 4 2 2 4 2 2 10" xfId="18283" xr:uid="{C92ECF66-6F77-408F-8F8F-BA019E147072}"/>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70E86C5A-7B93-4768-BF1F-C2F515246679}"/>
    <cellStyle name="Normal 4 2 2 4 2 2 2 2 2 3" xfId="25058" xr:uid="{3196D91A-3490-4DBA-B06D-60741B74C5CC}"/>
    <cellStyle name="Normal 4 2 2 4 2 2 2 2 3" xfId="12394" xr:uid="{C1C37DD2-1540-4130-BC88-D3F4549B53E2}"/>
    <cellStyle name="Normal 4 2 2 4 2 2 2 2 4" xfId="20841" xr:uid="{4F61F78B-3E08-4A80-BF1E-19E705B0C1D9}"/>
    <cellStyle name="Normal 4 2 2 4 2 2 2 3" xfId="5140" xr:uid="{00000000-0005-0000-0000-000098120000}"/>
    <cellStyle name="Normal 4 2 2 4 2 2 2 3 2" xfId="14466" xr:uid="{85FB8F2E-7F84-4F1E-B910-E9774E078540}"/>
    <cellStyle name="Normal 4 2 2 4 2 2 2 3 3" xfId="22913" xr:uid="{3B1916DC-6573-4AD6-8B74-C40AA09A39A2}"/>
    <cellStyle name="Normal 4 2 2 4 2 2 2 4" xfId="9553" xr:uid="{7FCAF883-2374-4470-BA95-AD8EB054639C}"/>
    <cellStyle name="Normal 4 2 2 4 2 2 2 5" xfId="10249" xr:uid="{A3E5C695-8694-4C44-8815-8C81521E2157}"/>
    <cellStyle name="Normal 4 2 2 4 2 2 2 6" xfId="18696" xr:uid="{31B6C080-5847-4F8B-BACD-B868CF47928E}"/>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9B4503F8-9039-4925-BE7E-81666C70DCDB}"/>
    <cellStyle name="Normal 4 2 2 4 2 2 3 2 2 3" xfId="25471" xr:uid="{0E25FB82-DE25-4491-9AC4-575B73CF4903}"/>
    <cellStyle name="Normal 4 2 2 4 2 2 3 2 3" xfId="12807" xr:uid="{F5E8670D-DDEC-481E-BD12-07BCBE58E958}"/>
    <cellStyle name="Normal 4 2 2 4 2 2 3 2 4" xfId="21254" xr:uid="{128F8DCC-0319-493D-A9C0-EA0D9A7B8694}"/>
    <cellStyle name="Normal 4 2 2 4 2 2 3 3" xfId="5553" xr:uid="{00000000-0005-0000-0000-00009C120000}"/>
    <cellStyle name="Normal 4 2 2 4 2 2 3 3 2" xfId="14879" xr:uid="{B6588CA2-5E4D-4D2B-8E8F-D2B80A8FF17C}"/>
    <cellStyle name="Normal 4 2 2 4 2 2 3 3 3" xfId="23326" xr:uid="{D8558A9F-AE59-4EC9-A930-382819A23CA0}"/>
    <cellStyle name="Normal 4 2 2 4 2 2 3 4" xfId="10662" xr:uid="{4621F12A-70EE-4C82-B62B-174761954FC8}"/>
    <cellStyle name="Normal 4 2 2 4 2 2 3 5" xfId="19109" xr:uid="{ED05E413-586E-4943-AC48-6E14E33924ED}"/>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7C8081AA-3A2B-477B-B3E5-0C857F0BC35E}"/>
    <cellStyle name="Normal 4 2 2 4 2 2 4 2 2 3" xfId="25884" xr:uid="{26D44F2B-6E1B-4CA5-9FF6-68776FF6F444}"/>
    <cellStyle name="Normal 4 2 2 4 2 2 4 2 3" xfId="13220" xr:uid="{D31D2866-2274-4E35-A9D8-C71EB4B11D2E}"/>
    <cellStyle name="Normal 4 2 2 4 2 2 4 2 4" xfId="21667" xr:uid="{690D7AB6-ED8B-4A89-BB2C-069B301B34CF}"/>
    <cellStyle name="Normal 4 2 2 4 2 2 4 3" xfId="5966" xr:uid="{00000000-0005-0000-0000-0000A0120000}"/>
    <cellStyle name="Normal 4 2 2 4 2 2 4 3 2" xfId="15292" xr:uid="{D63691F0-3E59-4D6A-BF72-3C178AC749D6}"/>
    <cellStyle name="Normal 4 2 2 4 2 2 4 3 3" xfId="23739" xr:uid="{1660646E-7F95-4DDD-88A8-6468E8499640}"/>
    <cellStyle name="Normal 4 2 2 4 2 2 4 4" xfId="11075" xr:uid="{1F7DE07D-4F09-49EF-8BE4-666B8D576CC4}"/>
    <cellStyle name="Normal 4 2 2 4 2 2 4 5" xfId="19522" xr:uid="{2EF03EA3-8260-4E5C-94E2-6344FAF5A4B5}"/>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505DE20F-C7C4-4C8F-B9F3-A2E0C01F2193}"/>
    <cellStyle name="Normal 4 2 2 4 2 2 5 2 2 3" xfId="26297" xr:uid="{B4732DB6-783D-4F3D-9151-549ADDD30506}"/>
    <cellStyle name="Normal 4 2 2 4 2 2 5 2 3" xfId="13633" xr:uid="{029F6FF1-E5AA-4CB4-8688-9A5CD4306BE2}"/>
    <cellStyle name="Normal 4 2 2 4 2 2 5 2 4" xfId="22080" xr:uid="{48F6C3FC-54EE-4E85-B9F4-9E390693160F}"/>
    <cellStyle name="Normal 4 2 2 4 2 2 5 3" xfId="6379" xr:uid="{00000000-0005-0000-0000-0000A4120000}"/>
    <cellStyle name="Normal 4 2 2 4 2 2 5 3 2" xfId="15705" xr:uid="{70ABFACC-DE3B-4E66-A1C6-7B1E4BA713D7}"/>
    <cellStyle name="Normal 4 2 2 4 2 2 5 3 3" xfId="24152" xr:uid="{9BFC07DC-B6ED-4ED5-BE71-8350467B438C}"/>
    <cellStyle name="Normal 4 2 2 4 2 2 5 4" xfId="11488" xr:uid="{B8FC4B7D-B92E-4EAB-8060-4495F168CCFF}"/>
    <cellStyle name="Normal 4 2 2 4 2 2 5 5" xfId="19935" xr:uid="{CB1302AF-79D0-432B-82B7-D0FD77A9BC68}"/>
    <cellStyle name="Normal 4 2 2 4 2 2 6" xfId="2509" xr:uid="{00000000-0005-0000-0000-0000A5120000}"/>
    <cellStyle name="Normal 4 2 2 4 2 2 6 2" xfId="6792" xr:uid="{00000000-0005-0000-0000-0000A6120000}"/>
    <cellStyle name="Normal 4 2 2 4 2 2 6 2 2" xfId="16118" xr:uid="{A22519D8-86C3-4751-9E0F-D285E3DC0517}"/>
    <cellStyle name="Normal 4 2 2 4 2 2 6 2 3" xfId="24565" xr:uid="{D5903F75-3E1E-4DB1-83CC-A42CDBAE617C}"/>
    <cellStyle name="Normal 4 2 2 4 2 2 6 3" xfId="11901" xr:uid="{7092CFE1-F78D-481A-964D-F515941B76F0}"/>
    <cellStyle name="Normal 4 2 2 4 2 2 6 4" xfId="20348" xr:uid="{5A2C74B4-C281-420F-9FF9-F38F239097AD}"/>
    <cellStyle name="Normal 4 2 2 4 2 2 7" xfId="4727" xr:uid="{00000000-0005-0000-0000-0000A7120000}"/>
    <cellStyle name="Normal 4 2 2 4 2 2 7 2" xfId="14053" xr:uid="{EEFE7634-5D95-4E25-BF0D-DD2F4C10DC33}"/>
    <cellStyle name="Normal 4 2 2 4 2 2 7 3" xfId="22500" xr:uid="{C62CA7B5-53F6-4773-8650-2D6D7AA78A13}"/>
    <cellStyle name="Normal 4 2 2 4 2 2 8" xfId="9128" xr:uid="{3D9AD2A4-E3D1-4BAF-8F43-BFB1FE8E222D}"/>
    <cellStyle name="Normal 4 2 2 4 2 2 9" xfId="9836" xr:uid="{5ACBF51E-2102-4FBC-831E-B01C078E005B}"/>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A518074E-2F3E-4388-AC77-746C5EE56F33}"/>
    <cellStyle name="Normal 4 2 2 4 2 3 2 2 3" xfId="25057" xr:uid="{616D0C56-3E4A-474A-A6EC-725925F2B756}"/>
    <cellStyle name="Normal 4 2 2 4 2 3 2 3" xfId="12393" xr:uid="{34AFA3F1-1CB0-4D4B-AB99-E15BA8FE1981}"/>
    <cellStyle name="Normal 4 2 2 4 2 3 2 4" xfId="20840" xr:uid="{3E35B0BE-7FDE-466F-9A6C-015171623C44}"/>
    <cellStyle name="Normal 4 2 2 4 2 3 3" xfId="5139" xr:uid="{00000000-0005-0000-0000-0000AB120000}"/>
    <cellStyle name="Normal 4 2 2 4 2 3 3 2" xfId="14465" xr:uid="{8DED6FAC-21EC-41C9-8F1D-0770425BE7DC}"/>
    <cellStyle name="Normal 4 2 2 4 2 3 3 3" xfId="22912" xr:uid="{B9602D4F-B0A9-40CE-834E-903CE91B5117}"/>
    <cellStyle name="Normal 4 2 2 4 2 3 4" xfId="9346" xr:uid="{11110DEC-01F5-467C-B0F9-3286FF7E57CB}"/>
    <cellStyle name="Normal 4 2 2 4 2 3 5" xfId="10248" xr:uid="{184BFC11-FE53-4487-999F-283BC8880AD5}"/>
    <cellStyle name="Normal 4 2 2 4 2 3 6" xfId="18695" xr:uid="{8A4808C9-4A86-423F-86B2-2C178D5C4DC9}"/>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A15A6677-0874-459B-9038-D6145EADCD94}"/>
    <cellStyle name="Normal 4 2 2 4 2 4 2 2 3" xfId="25470" xr:uid="{051DD371-5CD6-4C0F-8845-87C32E216722}"/>
    <cellStyle name="Normal 4 2 2 4 2 4 2 3" xfId="12806" xr:uid="{F51AC759-7253-4533-B97C-B82DF008B6F5}"/>
    <cellStyle name="Normal 4 2 2 4 2 4 2 4" xfId="21253" xr:uid="{0E2CA92D-DBB8-467B-8C1F-043ACED7B53C}"/>
    <cellStyle name="Normal 4 2 2 4 2 4 3" xfId="5552" xr:uid="{00000000-0005-0000-0000-0000AF120000}"/>
    <cellStyle name="Normal 4 2 2 4 2 4 3 2" xfId="14878" xr:uid="{102F46D7-9A40-452E-A20A-0336C9370D67}"/>
    <cellStyle name="Normal 4 2 2 4 2 4 3 3" xfId="23325" xr:uid="{63FB6E7D-112C-4F4D-9C9D-6F9480AF00CE}"/>
    <cellStyle name="Normal 4 2 2 4 2 4 4" xfId="10661" xr:uid="{C56E4AFE-7D22-4AC4-952E-357BFE15F30A}"/>
    <cellStyle name="Normal 4 2 2 4 2 4 5" xfId="19108" xr:uid="{C97F31DC-3F62-4134-8A47-24AEFBC34098}"/>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2E1CA757-ADEA-497B-ADEB-2642F59FC227}"/>
    <cellStyle name="Normal 4 2 2 4 2 5 2 2 3" xfId="25883" xr:uid="{8817260F-CB15-490F-855D-580BAA51CD79}"/>
    <cellStyle name="Normal 4 2 2 4 2 5 2 3" xfId="13219" xr:uid="{BA719670-0F98-49D1-8449-08F78D30CAC0}"/>
    <cellStyle name="Normal 4 2 2 4 2 5 2 4" xfId="21666" xr:uid="{084ED24D-EB22-4226-B749-082E75846B10}"/>
    <cellStyle name="Normal 4 2 2 4 2 5 3" xfId="5965" xr:uid="{00000000-0005-0000-0000-0000B3120000}"/>
    <cellStyle name="Normal 4 2 2 4 2 5 3 2" xfId="15291" xr:uid="{13D0BC08-4BD0-434D-B978-1F09C1770299}"/>
    <cellStyle name="Normal 4 2 2 4 2 5 3 3" xfId="23738" xr:uid="{5744E03F-2D44-4239-B67B-6E2ADEF8C010}"/>
    <cellStyle name="Normal 4 2 2 4 2 5 4" xfId="11074" xr:uid="{011EBDDE-1462-47AF-97C5-41545116318E}"/>
    <cellStyle name="Normal 4 2 2 4 2 5 5" xfId="19521" xr:uid="{22042993-509E-46A3-B4D0-5601564371E3}"/>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20A9664F-FA0C-4552-9222-9AAD07AFB75B}"/>
    <cellStyle name="Normal 4 2 2 4 2 6 2 2 3" xfId="26296" xr:uid="{99DEEAC4-26A8-4797-A26E-7F3AB3D3931F}"/>
    <cellStyle name="Normal 4 2 2 4 2 6 2 3" xfId="13632" xr:uid="{B58D958B-F74F-4CA2-960A-9A64E41BB37A}"/>
    <cellStyle name="Normal 4 2 2 4 2 6 2 4" xfId="22079" xr:uid="{5078C633-04AC-4347-BA50-F46EA8B0B5E9}"/>
    <cellStyle name="Normal 4 2 2 4 2 6 3" xfId="6378" xr:uid="{00000000-0005-0000-0000-0000B7120000}"/>
    <cellStyle name="Normal 4 2 2 4 2 6 3 2" xfId="15704" xr:uid="{1C6BD4EE-7742-4475-B90C-B0CD5C23AAD3}"/>
    <cellStyle name="Normal 4 2 2 4 2 6 3 3" xfId="24151" xr:uid="{F831D316-7C1C-4148-9185-6326AE8E7D97}"/>
    <cellStyle name="Normal 4 2 2 4 2 6 4" xfId="11487" xr:uid="{645734AD-B830-40C1-A99B-3DCDEDADE3BF}"/>
    <cellStyle name="Normal 4 2 2 4 2 6 5" xfId="19934" xr:uid="{83F4764D-5751-49B8-97D6-702E8C1FC4BC}"/>
    <cellStyle name="Normal 4 2 2 4 2 7" xfId="2508" xr:uid="{00000000-0005-0000-0000-0000B8120000}"/>
    <cellStyle name="Normal 4 2 2 4 2 7 2" xfId="6791" xr:uid="{00000000-0005-0000-0000-0000B9120000}"/>
    <cellStyle name="Normal 4 2 2 4 2 7 2 2" xfId="16117" xr:uid="{5DD98422-DC71-43A7-921C-DE6E040A0C88}"/>
    <cellStyle name="Normal 4 2 2 4 2 7 2 3" xfId="24564" xr:uid="{0BFE46E7-A371-4302-9F47-DD9038B21801}"/>
    <cellStyle name="Normal 4 2 2 4 2 7 3" xfId="11900" xr:uid="{15472E04-71F0-4774-A6EA-48DF7804C61D}"/>
    <cellStyle name="Normal 4 2 2 4 2 7 4" xfId="20347" xr:uid="{EEF475B0-D744-453B-AF9B-ECCD3FD23661}"/>
    <cellStyle name="Normal 4 2 2 4 2 8" xfId="4726" xr:uid="{00000000-0005-0000-0000-0000BA120000}"/>
    <cellStyle name="Normal 4 2 2 4 2 8 2" xfId="14052" xr:uid="{2A3C093C-26B4-4DC5-9BA8-EACCC4F5CA8F}"/>
    <cellStyle name="Normal 4 2 2 4 2 8 3" xfId="22499" xr:uid="{113FF9D9-C1BF-4695-8FBC-0E9125EB8757}"/>
    <cellStyle name="Normal 4 2 2 4 2 9" xfId="8921" xr:uid="{43AA3CA1-A6D2-47CC-8276-CBFAB7238AA6}"/>
    <cellStyle name="Normal 4 2 2 4 3" xfId="350" xr:uid="{00000000-0005-0000-0000-0000BB120000}"/>
    <cellStyle name="Normal 4 2 2 4 3 10" xfId="18284" xr:uid="{841F9815-1BBD-4A83-BE47-AE713897BCA7}"/>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473A4FF3-30C9-4846-841C-A53F733C928B}"/>
    <cellStyle name="Normal 4 2 2 4 3 2 2 2 3" xfId="25059" xr:uid="{9BA8AA5B-47F1-466A-B92D-61E76B428184}"/>
    <cellStyle name="Normal 4 2 2 4 3 2 2 3" xfId="12395" xr:uid="{8B0F4334-120F-47CF-A4E3-B0A439C2581F}"/>
    <cellStyle name="Normal 4 2 2 4 3 2 2 4" xfId="20842" xr:uid="{6B2CA701-A808-41BA-917D-2BD158EA1442}"/>
    <cellStyle name="Normal 4 2 2 4 3 2 3" xfId="5141" xr:uid="{00000000-0005-0000-0000-0000BF120000}"/>
    <cellStyle name="Normal 4 2 2 4 3 2 3 2" xfId="14467" xr:uid="{6BA7D72A-A703-43F0-8F63-06DF95D48FFE}"/>
    <cellStyle name="Normal 4 2 2 4 3 2 3 3" xfId="22914" xr:uid="{8E2BA8F1-404C-470A-BCB7-280F5FE752D0}"/>
    <cellStyle name="Normal 4 2 2 4 3 2 4" xfId="9450" xr:uid="{0F54578A-5DA3-4B6E-9E36-71CC7CD6BFE8}"/>
    <cellStyle name="Normal 4 2 2 4 3 2 5" xfId="10250" xr:uid="{25C0EECC-5E06-46FA-B75B-A79031DC8299}"/>
    <cellStyle name="Normal 4 2 2 4 3 2 6" xfId="18697" xr:uid="{B998B36D-E450-47B9-B1D3-E0A9872776EE}"/>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3B07B918-9908-4039-93A0-982C0C25950C}"/>
    <cellStyle name="Normal 4 2 2 4 3 3 2 2 3" xfId="25472" xr:uid="{42358220-B95E-43EF-ADAC-79E5BF1F31DD}"/>
    <cellStyle name="Normal 4 2 2 4 3 3 2 3" xfId="12808" xr:uid="{60C155DC-22ED-4413-A38B-51B3B116A8C7}"/>
    <cellStyle name="Normal 4 2 2 4 3 3 2 4" xfId="21255" xr:uid="{CB8E5FA3-1C21-49CF-8247-C709FAD3F977}"/>
    <cellStyle name="Normal 4 2 2 4 3 3 3" xfId="5554" xr:uid="{00000000-0005-0000-0000-0000C3120000}"/>
    <cellStyle name="Normal 4 2 2 4 3 3 3 2" xfId="14880" xr:uid="{59C02E95-AA7A-4CEA-90D2-9FF34293FEBA}"/>
    <cellStyle name="Normal 4 2 2 4 3 3 3 3" xfId="23327" xr:uid="{834BA26E-19E1-4C04-AFC6-CB0C67B90279}"/>
    <cellStyle name="Normal 4 2 2 4 3 3 4" xfId="10663" xr:uid="{81529AD2-6D2D-42C4-8D9D-390983AAACD2}"/>
    <cellStyle name="Normal 4 2 2 4 3 3 5" xfId="19110" xr:uid="{81782C2D-9045-4795-AC8E-262476368A5C}"/>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9011F988-A122-4376-AD18-630A3D08CF60}"/>
    <cellStyle name="Normal 4 2 2 4 3 4 2 2 3" xfId="25885" xr:uid="{8D9FE3A5-7DB6-418B-B0CE-F58B66B3F765}"/>
    <cellStyle name="Normal 4 2 2 4 3 4 2 3" xfId="13221" xr:uid="{61C216DF-E80B-4AEF-B9CE-6EC41FA5469F}"/>
    <cellStyle name="Normal 4 2 2 4 3 4 2 4" xfId="21668" xr:uid="{C8372846-A5D1-447C-B75A-FFBDCBF86911}"/>
    <cellStyle name="Normal 4 2 2 4 3 4 3" xfId="5967" xr:uid="{00000000-0005-0000-0000-0000C7120000}"/>
    <cellStyle name="Normal 4 2 2 4 3 4 3 2" xfId="15293" xr:uid="{E18BF800-9178-4938-87FE-C08BBA06686F}"/>
    <cellStyle name="Normal 4 2 2 4 3 4 3 3" xfId="23740" xr:uid="{770F794A-BAAF-46F6-A267-88752CF714DC}"/>
    <cellStyle name="Normal 4 2 2 4 3 4 4" xfId="11076" xr:uid="{4DD906FE-F6EC-4C71-915A-B1E93CA2A822}"/>
    <cellStyle name="Normal 4 2 2 4 3 4 5" xfId="19523" xr:uid="{0045257A-3A0F-4912-90E9-942C91F180B9}"/>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3CBDB3C4-B875-4B5B-9E4E-771EFF30DECF}"/>
    <cellStyle name="Normal 4 2 2 4 3 5 2 2 3" xfId="26298" xr:uid="{6D9DF719-A526-4B34-8A2B-200E22325082}"/>
    <cellStyle name="Normal 4 2 2 4 3 5 2 3" xfId="13634" xr:uid="{6D174C60-943C-439F-8EA5-F8E79844C4BB}"/>
    <cellStyle name="Normal 4 2 2 4 3 5 2 4" xfId="22081" xr:uid="{8CDC8698-91EB-41A2-AA72-0ABAF288151D}"/>
    <cellStyle name="Normal 4 2 2 4 3 5 3" xfId="6380" xr:uid="{00000000-0005-0000-0000-0000CB120000}"/>
    <cellStyle name="Normal 4 2 2 4 3 5 3 2" xfId="15706" xr:uid="{24950EE3-E73A-4262-940B-A70B2E3D45B7}"/>
    <cellStyle name="Normal 4 2 2 4 3 5 3 3" xfId="24153" xr:uid="{AE33D98C-BD05-4517-B85B-9DA8F56438DF}"/>
    <cellStyle name="Normal 4 2 2 4 3 5 4" xfId="11489" xr:uid="{AFB79334-5BCD-4172-A7A8-F8F7027E7EE5}"/>
    <cellStyle name="Normal 4 2 2 4 3 5 5" xfId="19936" xr:uid="{3CA09D90-123B-46CB-81EC-BA93D87194FC}"/>
    <cellStyle name="Normal 4 2 2 4 3 6" xfId="2510" xr:uid="{00000000-0005-0000-0000-0000CC120000}"/>
    <cellStyle name="Normal 4 2 2 4 3 6 2" xfId="6793" xr:uid="{00000000-0005-0000-0000-0000CD120000}"/>
    <cellStyle name="Normal 4 2 2 4 3 6 2 2" xfId="16119" xr:uid="{3E84303A-9535-400A-BB59-1E6BE5D6B013}"/>
    <cellStyle name="Normal 4 2 2 4 3 6 2 3" xfId="24566" xr:uid="{97012872-163D-44E2-8B59-1B2D7F47BCAF}"/>
    <cellStyle name="Normal 4 2 2 4 3 6 3" xfId="11902" xr:uid="{68403ED2-89BC-4E0F-B0F7-EEDA95EFFD70}"/>
    <cellStyle name="Normal 4 2 2 4 3 6 4" xfId="20349" xr:uid="{B1F3A7C0-E16E-4FB4-B191-09285431FE21}"/>
    <cellStyle name="Normal 4 2 2 4 3 7" xfId="4728" xr:uid="{00000000-0005-0000-0000-0000CE120000}"/>
    <cellStyle name="Normal 4 2 2 4 3 7 2" xfId="14054" xr:uid="{B06649CF-9604-4AD5-B615-283488FB4CBB}"/>
    <cellStyle name="Normal 4 2 2 4 3 7 3" xfId="22501" xr:uid="{4FE93BD8-16A2-494F-A098-3B315370548C}"/>
    <cellStyle name="Normal 4 2 2 4 3 8" xfId="9025" xr:uid="{436CB353-A916-4AB2-B5E2-8C1BDAEA1182}"/>
    <cellStyle name="Normal 4 2 2 4 3 9" xfId="9837" xr:uid="{DBB48BF8-B3AB-44DA-A2DC-96C0DD89E9CA}"/>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0BAFCB87-8F24-4E5D-9463-7D30CE53FEA7}"/>
    <cellStyle name="Normal 4 2 2 4 4 2 2 3" xfId="25056" xr:uid="{DA3833FC-C0B1-4B23-B4FC-D1F3185B115F}"/>
    <cellStyle name="Normal 4 2 2 4 4 2 3" xfId="12392" xr:uid="{46E23602-54C9-43B5-85EA-CA434E821505}"/>
    <cellStyle name="Normal 4 2 2 4 4 2 4" xfId="20839" xr:uid="{6684D6A4-9D0A-4EF6-9C1A-401550E49469}"/>
    <cellStyle name="Normal 4 2 2 4 4 3" xfId="5138" xr:uid="{00000000-0005-0000-0000-0000D2120000}"/>
    <cellStyle name="Normal 4 2 2 4 4 3 2" xfId="14464" xr:uid="{64924B70-BF6C-42C7-B657-9330AB43E1AB}"/>
    <cellStyle name="Normal 4 2 2 4 4 3 3" xfId="22911" xr:uid="{EBB81F1E-DFD1-4014-A52C-8A8BEBBFADA0}"/>
    <cellStyle name="Normal 4 2 2 4 4 4" xfId="9243" xr:uid="{FD46A281-F5BE-478B-950E-209D1D56FC0E}"/>
    <cellStyle name="Normal 4 2 2 4 4 5" xfId="10247" xr:uid="{E2BF7E84-5DEF-46BA-A51D-B76EA4C14CE9}"/>
    <cellStyle name="Normal 4 2 2 4 4 6" xfId="18694" xr:uid="{332DAFA7-66B0-44F1-A1B9-3F67DDA5BAC5}"/>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F833DD1D-B09C-47A4-870D-FE1703EABE23}"/>
    <cellStyle name="Normal 4 2 2 4 5 2 2 3" xfId="25469" xr:uid="{AB94887E-C177-4C72-8C9A-A77EE77179A0}"/>
    <cellStyle name="Normal 4 2 2 4 5 2 3" xfId="12805" xr:uid="{3DDB6576-0863-4A0F-AF85-F6E7AE69C216}"/>
    <cellStyle name="Normal 4 2 2 4 5 2 4" xfId="21252" xr:uid="{6F6531FA-4846-4E8B-A52A-28FAC2082576}"/>
    <cellStyle name="Normal 4 2 2 4 5 3" xfId="5551" xr:uid="{00000000-0005-0000-0000-0000D6120000}"/>
    <cellStyle name="Normal 4 2 2 4 5 3 2" xfId="14877" xr:uid="{174AE7A8-DC71-4172-A3BF-57C89EEA2C67}"/>
    <cellStyle name="Normal 4 2 2 4 5 3 3" xfId="23324" xr:uid="{05D49BC9-EABB-42A5-A5E4-5D30696D5F3A}"/>
    <cellStyle name="Normal 4 2 2 4 5 4" xfId="10660" xr:uid="{04B78BBF-DE46-44B4-B5BA-D5DF89D16E38}"/>
    <cellStyle name="Normal 4 2 2 4 5 5" xfId="19107" xr:uid="{F1F4A446-B5F2-4797-8A8E-C60A1C19307A}"/>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070313AA-6994-41E5-A24F-2B35AD4142E1}"/>
    <cellStyle name="Normal 4 2 2 4 6 2 2 3" xfId="25882" xr:uid="{05A3206A-E756-44CF-8515-4E5B04610E25}"/>
    <cellStyle name="Normal 4 2 2 4 6 2 3" xfId="13218" xr:uid="{E8A56C85-2081-4322-A7F4-57C9937A122E}"/>
    <cellStyle name="Normal 4 2 2 4 6 2 4" xfId="21665" xr:uid="{2378EF41-89A7-4A5F-8D05-08B8D4F50FB3}"/>
    <cellStyle name="Normal 4 2 2 4 6 3" xfId="5964" xr:uid="{00000000-0005-0000-0000-0000DA120000}"/>
    <cellStyle name="Normal 4 2 2 4 6 3 2" xfId="15290" xr:uid="{998D306E-39F6-4DFA-AC25-4B91AFC1F573}"/>
    <cellStyle name="Normal 4 2 2 4 6 3 3" xfId="23737" xr:uid="{380CC870-DC8D-4B3D-B27A-F82CDB406F42}"/>
    <cellStyle name="Normal 4 2 2 4 6 4" xfId="11073" xr:uid="{7DF249A0-B446-4E52-A420-58753166AD31}"/>
    <cellStyle name="Normal 4 2 2 4 6 5" xfId="19520" xr:uid="{2708F329-663A-4CDE-B154-E8606A5AF9A7}"/>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32FB0D27-5893-4E32-96AD-C451FCB30497}"/>
    <cellStyle name="Normal 4 2 2 4 7 2 2 3" xfId="26295" xr:uid="{FAEFA37C-DD0A-4D50-813E-724E698CDE4C}"/>
    <cellStyle name="Normal 4 2 2 4 7 2 3" xfId="13631" xr:uid="{DAE805DD-82CE-42AE-ACE8-7D0B8E13522C}"/>
    <cellStyle name="Normal 4 2 2 4 7 2 4" xfId="22078" xr:uid="{D720C55E-191E-4F8F-B789-B7BA34D18F85}"/>
    <cellStyle name="Normal 4 2 2 4 7 3" xfId="6377" xr:uid="{00000000-0005-0000-0000-0000DE120000}"/>
    <cellStyle name="Normal 4 2 2 4 7 3 2" xfId="15703" xr:uid="{E7E72457-AD71-4C4A-9990-F49AF0B5AE61}"/>
    <cellStyle name="Normal 4 2 2 4 7 3 3" xfId="24150" xr:uid="{AB0BB542-ABB1-4DD5-A6B7-7A2E26978D4B}"/>
    <cellStyle name="Normal 4 2 2 4 7 4" xfId="11486" xr:uid="{F4276D5F-367E-41DA-B4A8-5DFF9E49B3DD}"/>
    <cellStyle name="Normal 4 2 2 4 7 5" xfId="19933" xr:uid="{5CBD1C17-029E-49BF-84E0-783CEE1796CA}"/>
    <cellStyle name="Normal 4 2 2 4 8" xfId="2507" xr:uid="{00000000-0005-0000-0000-0000DF120000}"/>
    <cellStyle name="Normal 4 2 2 4 8 2" xfId="6790" xr:uid="{00000000-0005-0000-0000-0000E0120000}"/>
    <cellStyle name="Normal 4 2 2 4 8 2 2" xfId="16116" xr:uid="{332B738A-D415-42B1-8F95-DB73D747166A}"/>
    <cellStyle name="Normal 4 2 2 4 8 2 3" xfId="24563" xr:uid="{D85D9914-EC1A-4BB7-9C8B-05EA0E705578}"/>
    <cellStyle name="Normal 4 2 2 4 8 3" xfId="11899" xr:uid="{82E97047-5AF0-4110-8447-A95616BAC148}"/>
    <cellStyle name="Normal 4 2 2 4 8 4" xfId="20346" xr:uid="{C413666C-C58A-49F2-893D-181CE99B873D}"/>
    <cellStyle name="Normal 4 2 2 4 9" xfId="4725" xr:uid="{00000000-0005-0000-0000-0000E1120000}"/>
    <cellStyle name="Normal 4 2 2 4 9 2" xfId="14051" xr:uid="{D5E24E54-32A4-4238-92FD-B00E7BB95D00}"/>
    <cellStyle name="Normal 4 2 2 4 9 3" xfId="22498" xr:uid="{9298CD24-CE5B-4784-8B71-8677E7ACEA79}"/>
    <cellStyle name="Normal 4 2 2 5" xfId="351" xr:uid="{00000000-0005-0000-0000-0000E2120000}"/>
    <cellStyle name="Normal 4 2 2 5 10" xfId="9838" xr:uid="{7A826679-6B61-4E93-9C07-BF4C815C504F}"/>
    <cellStyle name="Normal 4 2 2 5 11" xfId="18285" xr:uid="{EFC8E73A-BA9D-4093-8002-6C61F28E5F14}"/>
    <cellStyle name="Normal 4 2 2 5 2" xfId="352" xr:uid="{00000000-0005-0000-0000-0000E3120000}"/>
    <cellStyle name="Normal 4 2 2 5 2 10" xfId="18286" xr:uid="{1A64E85D-952C-4A12-A22A-1245C468787D}"/>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6318E902-997E-4E64-AD41-1B75FF1CAA60}"/>
    <cellStyle name="Normal 4 2 2 5 2 2 2 2 3" xfId="25061" xr:uid="{26E366D0-8749-4555-B15F-581F411DDB5C}"/>
    <cellStyle name="Normal 4 2 2 5 2 2 2 3" xfId="12397" xr:uid="{825DDC7F-662B-4370-86F9-2819867DD31A}"/>
    <cellStyle name="Normal 4 2 2 5 2 2 2 4" xfId="20844" xr:uid="{829F4172-0A81-46AB-80DC-0D5F90E8940B}"/>
    <cellStyle name="Normal 4 2 2 5 2 2 3" xfId="5143" xr:uid="{00000000-0005-0000-0000-0000E7120000}"/>
    <cellStyle name="Normal 4 2 2 5 2 2 3 2" xfId="14469" xr:uid="{BCE20665-FD27-4B64-ACE6-D68550592901}"/>
    <cellStyle name="Normal 4 2 2 5 2 2 3 3" xfId="22916" xr:uid="{2C22E470-3391-418D-8711-729F0B8813FB}"/>
    <cellStyle name="Normal 4 2 2 5 2 2 4" xfId="9487" xr:uid="{83D2756E-B983-4EA9-AB48-FF4D3E821CE4}"/>
    <cellStyle name="Normal 4 2 2 5 2 2 5" xfId="10252" xr:uid="{3D22D85C-7E4E-44A3-B148-1C943F0AB2D1}"/>
    <cellStyle name="Normal 4 2 2 5 2 2 6" xfId="18699" xr:uid="{09B6DA43-E001-42C2-BAD2-EA07CC9FB2BC}"/>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2C90BD7D-47AF-4374-AB51-F96063854537}"/>
    <cellStyle name="Normal 4 2 2 5 2 3 2 2 3" xfId="25474" xr:uid="{15D75EE4-DB9E-46AF-BC8C-29BB49363039}"/>
    <cellStyle name="Normal 4 2 2 5 2 3 2 3" xfId="12810" xr:uid="{5E88F99F-3BAB-4330-9280-C6E71D9CB87D}"/>
    <cellStyle name="Normal 4 2 2 5 2 3 2 4" xfId="21257" xr:uid="{5E311590-3566-4C7F-806E-061A0F9380FD}"/>
    <cellStyle name="Normal 4 2 2 5 2 3 3" xfId="5556" xr:uid="{00000000-0005-0000-0000-0000EB120000}"/>
    <cellStyle name="Normal 4 2 2 5 2 3 3 2" xfId="14882" xr:uid="{4AD5DF30-8B3F-4F2C-BB51-429027CB635D}"/>
    <cellStyle name="Normal 4 2 2 5 2 3 3 3" xfId="23329" xr:uid="{2B858DFE-786E-4B63-9087-981A84FCE618}"/>
    <cellStyle name="Normal 4 2 2 5 2 3 4" xfId="10665" xr:uid="{B98E0875-E1C4-4667-BD17-3E54B362CBD8}"/>
    <cellStyle name="Normal 4 2 2 5 2 3 5" xfId="19112" xr:uid="{2D84E9E9-4AFE-47D8-BD2E-C73AADE6655F}"/>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A09CEF56-B48C-4F96-8787-0D3227827FB3}"/>
    <cellStyle name="Normal 4 2 2 5 2 4 2 2 3" xfId="25887" xr:uid="{66B02D0A-F895-463D-AE95-DD7D286BE485}"/>
    <cellStyle name="Normal 4 2 2 5 2 4 2 3" xfId="13223" xr:uid="{A4C17C35-5A56-4217-980A-59564D6181CB}"/>
    <cellStyle name="Normal 4 2 2 5 2 4 2 4" xfId="21670" xr:uid="{66D821DE-47A6-4D12-8272-255D5A11344B}"/>
    <cellStyle name="Normal 4 2 2 5 2 4 3" xfId="5969" xr:uid="{00000000-0005-0000-0000-0000EF120000}"/>
    <cellStyle name="Normal 4 2 2 5 2 4 3 2" xfId="15295" xr:uid="{4338FB83-2CED-4CF7-BF53-8F6558268E1E}"/>
    <cellStyle name="Normal 4 2 2 5 2 4 3 3" xfId="23742" xr:uid="{526A26C9-8157-412C-88D5-BFEA1C84683F}"/>
    <cellStyle name="Normal 4 2 2 5 2 4 4" xfId="11078" xr:uid="{B5531206-9867-42E9-9F52-5E331F64B507}"/>
    <cellStyle name="Normal 4 2 2 5 2 4 5" xfId="19525" xr:uid="{8A78654C-3596-4F69-8E69-287F6C174D9B}"/>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9CBA0708-04FC-4D4F-9F15-D08407436DF1}"/>
    <cellStyle name="Normal 4 2 2 5 2 5 2 2 3" xfId="26300" xr:uid="{85AF53A4-B088-4208-B74C-0D29F26A2594}"/>
    <cellStyle name="Normal 4 2 2 5 2 5 2 3" xfId="13636" xr:uid="{5AEBF55E-DB28-4E66-96EB-D59843D3E95E}"/>
    <cellStyle name="Normal 4 2 2 5 2 5 2 4" xfId="22083" xr:uid="{903F7F91-1E41-4C44-8EDD-776977A14AA5}"/>
    <cellStyle name="Normal 4 2 2 5 2 5 3" xfId="6382" xr:uid="{00000000-0005-0000-0000-0000F3120000}"/>
    <cellStyle name="Normal 4 2 2 5 2 5 3 2" xfId="15708" xr:uid="{C8204473-6FB2-4C9C-B7C8-4FBD81DB1A09}"/>
    <cellStyle name="Normal 4 2 2 5 2 5 3 3" xfId="24155" xr:uid="{01F651FB-70A3-4A4D-BD2F-92C1B3B1D2AC}"/>
    <cellStyle name="Normal 4 2 2 5 2 5 4" xfId="11491" xr:uid="{F02B85A9-DF6C-4A0C-A25B-8D156D3559C1}"/>
    <cellStyle name="Normal 4 2 2 5 2 5 5" xfId="19938" xr:uid="{D2D5DC5C-470E-48F9-BC75-01854ABA1BEA}"/>
    <cellStyle name="Normal 4 2 2 5 2 6" xfId="2512" xr:uid="{00000000-0005-0000-0000-0000F4120000}"/>
    <cellStyle name="Normal 4 2 2 5 2 6 2" xfId="6795" xr:uid="{00000000-0005-0000-0000-0000F5120000}"/>
    <cellStyle name="Normal 4 2 2 5 2 6 2 2" xfId="16121" xr:uid="{E434B378-C7CF-4FC9-B17E-F2E4893791E2}"/>
    <cellStyle name="Normal 4 2 2 5 2 6 2 3" xfId="24568" xr:uid="{0F3EE895-5C3C-46CA-B4AB-0FBF53BEEC5D}"/>
    <cellStyle name="Normal 4 2 2 5 2 6 3" xfId="11904" xr:uid="{8FD7E1F5-4AE8-480A-83D9-8465406C20B2}"/>
    <cellStyle name="Normal 4 2 2 5 2 6 4" xfId="20351" xr:uid="{210BBD72-CDF1-41EA-9DCC-FD66E7BC268E}"/>
    <cellStyle name="Normal 4 2 2 5 2 7" xfId="4730" xr:uid="{00000000-0005-0000-0000-0000F6120000}"/>
    <cellStyle name="Normal 4 2 2 5 2 7 2" xfId="14056" xr:uid="{38D8D687-4A5D-4678-89E0-289E103036F6}"/>
    <cellStyle name="Normal 4 2 2 5 2 7 3" xfId="22503" xr:uid="{37762543-E087-4CCF-BD5A-3BF0BD9D3A8A}"/>
    <cellStyle name="Normal 4 2 2 5 2 8" xfId="9062" xr:uid="{FED54422-C2E5-44B3-AA7C-C6088F47A385}"/>
    <cellStyle name="Normal 4 2 2 5 2 9" xfId="9839" xr:uid="{7B0481E6-2C49-4231-8295-9072CFE1B63A}"/>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87EEDC86-7D0E-4BF5-8570-BE8AE614FAFE}"/>
    <cellStyle name="Normal 4 2 2 5 3 2 2 3" xfId="25060" xr:uid="{59B298FE-2B45-4C39-900B-3E73ABDC21D0}"/>
    <cellStyle name="Normal 4 2 2 5 3 2 3" xfId="12396" xr:uid="{C2699E1C-AD61-42C1-9592-51D0C371E8C7}"/>
    <cellStyle name="Normal 4 2 2 5 3 2 4" xfId="20843" xr:uid="{3D048107-EDA1-4B27-8F6D-00392F811CC5}"/>
    <cellStyle name="Normal 4 2 2 5 3 3" xfId="5142" xr:uid="{00000000-0005-0000-0000-0000FA120000}"/>
    <cellStyle name="Normal 4 2 2 5 3 3 2" xfId="14468" xr:uid="{9E9E5D98-B2A1-47F4-A7AA-ADA0A6DB0471}"/>
    <cellStyle name="Normal 4 2 2 5 3 3 3" xfId="22915" xr:uid="{0A46E268-51B2-4E5A-8FD5-0F720653AAF6}"/>
    <cellStyle name="Normal 4 2 2 5 3 4" xfId="9280" xr:uid="{C70B18D8-E279-4D37-82EF-3177E9FA554F}"/>
    <cellStyle name="Normal 4 2 2 5 3 5" xfId="10251" xr:uid="{5A91B23E-D72E-48D0-9710-880DFDAA6953}"/>
    <cellStyle name="Normal 4 2 2 5 3 6" xfId="18698" xr:uid="{9DB40DA0-593C-4B58-B2A4-D3A25EC43C72}"/>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0948B667-CD18-4FBE-9ACF-3A6E0C67DC6F}"/>
    <cellStyle name="Normal 4 2 2 5 4 2 2 3" xfId="25473" xr:uid="{0B5F5212-9720-45E1-BC90-C65A4B9A6C95}"/>
    <cellStyle name="Normal 4 2 2 5 4 2 3" xfId="12809" xr:uid="{4F1513C7-E079-4464-82B1-9BE9EC14A7DE}"/>
    <cellStyle name="Normal 4 2 2 5 4 2 4" xfId="21256" xr:uid="{2A4C8F67-3EC7-4279-B0CB-710CCAC621B9}"/>
    <cellStyle name="Normal 4 2 2 5 4 3" xfId="5555" xr:uid="{00000000-0005-0000-0000-0000FE120000}"/>
    <cellStyle name="Normal 4 2 2 5 4 3 2" xfId="14881" xr:uid="{AB4B8565-EF0A-450B-B198-0031A54E7FD4}"/>
    <cellStyle name="Normal 4 2 2 5 4 3 3" xfId="23328" xr:uid="{696440C4-32C7-4FAD-A2B3-F4FADFE7A797}"/>
    <cellStyle name="Normal 4 2 2 5 4 4" xfId="10664" xr:uid="{79CD18B7-1378-4F98-A658-DCF147BA1645}"/>
    <cellStyle name="Normal 4 2 2 5 4 5" xfId="19111" xr:uid="{1B55A013-2E7F-4C34-99D0-7B6C68729FCF}"/>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8A3D7BBA-6402-4EF9-8579-B5AD22A7324B}"/>
    <cellStyle name="Normal 4 2 2 5 5 2 2 3" xfId="25886" xr:uid="{0254511D-0056-43C3-AD0E-0D1905BDC3FB}"/>
    <cellStyle name="Normal 4 2 2 5 5 2 3" xfId="13222" xr:uid="{54DCE678-6D82-4D73-92F7-1BBE9F858E1A}"/>
    <cellStyle name="Normal 4 2 2 5 5 2 4" xfId="21669" xr:uid="{2D902C7D-548F-4D75-B422-FC760E2E7B6F}"/>
    <cellStyle name="Normal 4 2 2 5 5 3" xfId="5968" xr:uid="{00000000-0005-0000-0000-000002130000}"/>
    <cellStyle name="Normal 4 2 2 5 5 3 2" xfId="15294" xr:uid="{526591D4-CEA2-4DE1-8B95-809279A0DDA0}"/>
    <cellStyle name="Normal 4 2 2 5 5 3 3" xfId="23741" xr:uid="{B15D900D-CD4B-4147-905B-C3849B906052}"/>
    <cellStyle name="Normal 4 2 2 5 5 4" xfId="11077" xr:uid="{08BD035B-ED5A-40B5-A68E-8BBF50BF1537}"/>
    <cellStyle name="Normal 4 2 2 5 5 5" xfId="19524" xr:uid="{F2D0C6EB-C5A3-4FD2-9DA1-F310298854E0}"/>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D1056E22-ADF2-4678-82EC-1A62D1AB16DD}"/>
    <cellStyle name="Normal 4 2 2 5 6 2 2 3" xfId="26299" xr:uid="{32682741-0A1D-4525-B4D5-71B635751F2D}"/>
    <cellStyle name="Normal 4 2 2 5 6 2 3" xfId="13635" xr:uid="{C3270396-8693-42FD-9E09-A523B62620D8}"/>
    <cellStyle name="Normal 4 2 2 5 6 2 4" xfId="22082" xr:uid="{71F619FE-968A-48E0-A9AD-96EEBA482102}"/>
    <cellStyle name="Normal 4 2 2 5 6 3" xfId="6381" xr:uid="{00000000-0005-0000-0000-000006130000}"/>
    <cellStyle name="Normal 4 2 2 5 6 3 2" xfId="15707" xr:uid="{DB89CFFB-0E5A-4DF8-885C-4B8035916260}"/>
    <cellStyle name="Normal 4 2 2 5 6 3 3" xfId="24154" xr:uid="{16EBFA6B-8452-4158-9693-37DDC3002DE7}"/>
    <cellStyle name="Normal 4 2 2 5 6 4" xfId="11490" xr:uid="{7F58ADEC-9AC5-454A-8403-BAC6467100BE}"/>
    <cellStyle name="Normal 4 2 2 5 6 5" xfId="19937" xr:uid="{623ADFF3-8E28-44D1-8E80-E6ACCB2FA674}"/>
    <cellStyle name="Normal 4 2 2 5 7" xfId="2511" xr:uid="{00000000-0005-0000-0000-000007130000}"/>
    <cellStyle name="Normal 4 2 2 5 7 2" xfId="6794" xr:uid="{00000000-0005-0000-0000-000008130000}"/>
    <cellStyle name="Normal 4 2 2 5 7 2 2" xfId="16120" xr:uid="{233A5115-632D-4947-AC58-1F559BD70D1F}"/>
    <cellStyle name="Normal 4 2 2 5 7 2 3" xfId="24567" xr:uid="{0CECC123-035D-4BEB-AB9A-01A26ABD88DC}"/>
    <cellStyle name="Normal 4 2 2 5 7 3" xfId="11903" xr:uid="{14C88213-51A7-403F-A7FF-2D9714CE925C}"/>
    <cellStyle name="Normal 4 2 2 5 7 4" xfId="20350" xr:uid="{4AADE167-9AFE-454B-8A2D-2A6A23A3F7CC}"/>
    <cellStyle name="Normal 4 2 2 5 8" xfId="4729" xr:uid="{00000000-0005-0000-0000-000009130000}"/>
    <cellStyle name="Normal 4 2 2 5 8 2" xfId="14055" xr:uid="{D2209FD3-8D62-428C-B320-6DC4E6BAA02F}"/>
    <cellStyle name="Normal 4 2 2 5 8 3" xfId="22502" xr:uid="{7A0B2D01-3DAA-4AD5-8542-909D7DC079AF}"/>
    <cellStyle name="Normal 4 2 2 5 9" xfId="8855" xr:uid="{894DEE8B-A5CD-4C4E-B41D-DCEB92717109}"/>
    <cellStyle name="Normal 4 2 2 6" xfId="353" xr:uid="{00000000-0005-0000-0000-00000A130000}"/>
    <cellStyle name="Normal 4 2 2 6 10" xfId="18287" xr:uid="{32D0A78A-A551-4610-9E5D-6539E1695D93}"/>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B6E03559-20E0-48B9-9487-446953DF8A1B}"/>
    <cellStyle name="Normal 4 2 2 6 2 2 2 3" xfId="25062" xr:uid="{92CACEB5-EE91-416E-B38F-F0952B881BDE}"/>
    <cellStyle name="Normal 4 2 2 6 2 2 3" xfId="12398" xr:uid="{57B1AFE8-BF11-4581-B433-62EDDDB00D8A}"/>
    <cellStyle name="Normal 4 2 2 6 2 2 4" xfId="20845" xr:uid="{92516844-D55C-415E-9F4A-351B97FE1B90}"/>
    <cellStyle name="Normal 4 2 2 6 2 3" xfId="5144" xr:uid="{00000000-0005-0000-0000-00000E130000}"/>
    <cellStyle name="Normal 4 2 2 6 2 3 2" xfId="14470" xr:uid="{B23FD93D-8567-42BF-B6A3-47DA33F37D25}"/>
    <cellStyle name="Normal 4 2 2 6 2 3 3" xfId="22917" xr:uid="{E2ED5175-3049-4D6A-8006-DB20F62C9CFA}"/>
    <cellStyle name="Normal 4 2 2 6 2 4" xfId="9396" xr:uid="{5B10E6C6-987A-4149-BB81-321A07C7666F}"/>
    <cellStyle name="Normal 4 2 2 6 2 5" xfId="10253" xr:uid="{4BA9F1A3-1B49-42B6-AD5F-72953FA20338}"/>
    <cellStyle name="Normal 4 2 2 6 2 6" xfId="18700" xr:uid="{53814C4C-DDA5-44C4-9D57-1AD14FCD1FB3}"/>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825ECD07-502B-4EDD-BAF1-1FC26046A65C}"/>
    <cellStyle name="Normal 4 2 2 6 3 2 2 3" xfId="25475" xr:uid="{AF5C4FE5-F98A-4F18-9CE8-4A24A94AFB03}"/>
    <cellStyle name="Normal 4 2 2 6 3 2 3" xfId="12811" xr:uid="{6A765513-9580-477C-8A09-B23A141CECEA}"/>
    <cellStyle name="Normal 4 2 2 6 3 2 4" xfId="21258" xr:uid="{8A23B0B1-694A-4727-9A7B-71A9C91A4F12}"/>
    <cellStyle name="Normal 4 2 2 6 3 3" xfId="5557" xr:uid="{00000000-0005-0000-0000-000012130000}"/>
    <cellStyle name="Normal 4 2 2 6 3 3 2" xfId="14883" xr:uid="{E4AFC58C-95F1-4004-8C48-5D9842E3F03A}"/>
    <cellStyle name="Normal 4 2 2 6 3 3 3" xfId="23330" xr:uid="{AD9C0E8A-1200-4C0F-A401-03795A06085C}"/>
    <cellStyle name="Normal 4 2 2 6 3 4" xfId="10666" xr:uid="{73B56554-3A67-4F5A-AD48-399B00D5E071}"/>
    <cellStyle name="Normal 4 2 2 6 3 5" xfId="19113" xr:uid="{C2199E44-3E5D-4607-A035-0D2CB1D9ED0F}"/>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DA27781E-5EC8-4779-98BF-62342E57C1FB}"/>
    <cellStyle name="Normal 4 2 2 6 4 2 2 3" xfId="25888" xr:uid="{359EBD67-A43B-4F81-97B8-90EA2C22C5EC}"/>
    <cellStyle name="Normal 4 2 2 6 4 2 3" xfId="13224" xr:uid="{8F358DE6-E288-41D0-8502-1B15E67CD6BD}"/>
    <cellStyle name="Normal 4 2 2 6 4 2 4" xfId="21671" xr:uid="{CA5C8515-99D4-4843-B2CF-B635D77A7744}"/>
    <cellStyle name="Normal 4 2 2 6 4 3" xfId="5970" xr:uid="{00000000-0005-0000-0000-000016130000}"/>
    <cellStyle name="Normal 4 2 2 6 4 3 2" xfId="15296" xr:uid="{6A7016FE-DEF9-4BF3-A598-7451C9FD7C50}"/>
    <cellStyle name="Normal 4 2 2 6 4 3 3" xfId="23743" xr:uid="{D009AF45-B28F-40B8-8BCA-752B56A64C03}"/>
    <cellStyle name="Normal 4 2 2 6 4 4" xfId="11079" xr:uid="{65C92C55-4C28-4B17-B5FD-FC49256549AF}"/>
    <cellStyle name="Normal 4 2 2 6 4 5" xfId="19526" xr:uid="{9BA99E5B-BB7A-4C4E-A912-7017CC6653A5}"/>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4400E416-853A-42A8-B5DC-E139235F2D39}"/>
    <cellStyle name="Normal 4 2 2 6 5 2 2 3" xfId="26301" xr:uid="{7E63DABC-E841-4E4D-AC80-9C3A04687030}"/>
    <cellStyle name="Normal 4 2 2 6 5 2 3" xfId="13637" xr:uid="{D2CB40A6-5A52-4F3E-B880-3C734988A9CF}"/>
    <cellStyle name="Normal 4 2 2 6 5 2 4" xfId="22084" xr:uid="{068BDE90-8138-4A86-8D59-1EE28F7B3C34}"/>
    <cellStyle name="Normal 4 2 2 6 5 3" xfId="6383" xr:uid="{00000000-0005-0000-0000-00001A130000}"/>
    <cellStyle name="Normal 4 2 2 6 5 3 2" xfId="15709" xr:uid="{79FD0FE9-A71B-4F68-96DE-89073BAB83B5}"/>
    <cellStyle name="Normal 4 2 2 6 5 3 3" xfId="24156" xr:uid="{6C027599-0EB8-43CB-9CAB-5ABE66951592}"/>
    <cellStyle name="Normal 4 2 2 6 5 4" xfId="11492" xr:uid="{8566EA87-0A6D-45B2-B444-038AF7CD787F}"/>
    <cellStyle name="Normal 4 2 2 6 5 5" xfId="19939" xr:uid="{3EB24D57-E43A-4BBF-988E-861871039441}"/>
    <cellStyle name="Normal 4 2 2 6 6" xfId="2513" xr:uid="{00000000-0005-0000-0000-00001B130000}"/>
    <cellStyle name="Normal 4 2 2 6 6 2" xfId="6796" xr:uid="{00000000-0005-0000-0000-00001C130000}"/>
    <cellStyle name="Normal 4 2 2 6 6 2 2" xfId="16122" xr:uid="{6F8698A0-48D5-4FB5-9F00-B07F5165449A}"/>
    <cellStyle name="Normal 4 2 2 6 6 2 3" xfId="24569" xr:uid="{2DF82D1A-9D9B-4D86-84D2-3A4D18EFA65C}"/>
    <cellStyle name="Normal 4 2 2 6 6 3" xfId="11905" xr:uid="{2F5D4755-97BD-4166-BCAE-6678DBA40AE9}"/>
    <cellStyle name="Normal 4 2 2 6 6 4" xfId="20352" xr:uid="{FC914CA9-992B-440F-8658-19A0E7D9ACA7}"/>
    <cellStyle name="Normal 4 2 2 6 7" xfId="4731" xr:uid="{00000000-0005-0000-0000-00001D130000}"/>
    <cellStyle name="Normal 4 2 2 6 7 2" xfId="14057" xr:uid="{7468192E-0177-4FE3-9F0E-750A1FD0C75C}"/>
    <cellStyle name="Normal 4 2 2 6 7 3" xfId="22504" xr:uid="{82A0C8EE-2946-4582-B156-C172E9740B46}"/>
    <cellStyle name="Normal 4 2 2 6 8" xfId="8971" xr:uid="{7BBA3CD4-2D32-439A-A2D5-9F7EB5E5A47E}"/>
    <cellStyle name="Normal 4 2 2 6 9" xfId="9840" xr:uid="{67C6B2FC-32B6-4729-AEBA-F0C92E1A9FA3}"/>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CD5FFB7E-C896-4C79-BDF9-FB11DDD05B8D}"/>
    <cellStyle name="Normal 4 2 2 7 2 2 3" xfId="25047" xr:uid="{36074F6D-0C8D-4D86-866E-D3C8AEAA3B58}"/>
    <cellStyle name="Normal 4 2 2 7 2 3" xfId="12383" xr:uid="{B5C3D9C6-73DE-4F80-9130-A11D51665A02}"/>
    <cellStyle name="Normal 4 2 2 7 2 4" xfId="20830" xr:uid="{3122BEBE-4A78-4ED9-B28E-81122E043261}"/>
    <cellStyle name="Normal 4 2 2 7 3" xfId="5129" xr:uid="{00000000-0005-0000-0000-000021130000}"/>
    <cellStyle name="Normal 4 2 2 7 3 2" xfId="14455" xr:uid="{5B464B7F-4839-4A9A-B854-0D4628E631CE}"/>
    <cellStyle name="Normal 4 2 2 7 3 3" xfId="22902" xr:uid="{F3C58814-4860-4281-9A5B-C39297A3583D}"/>
    <cellStyle name="Normal 4 2 2 7 4" xfId="9174" xr:uid="{5FB177AF-8B2E-4B7E-A1B7-4F6E323AF880}"/>
    <cellStyle name="Normal 4 2 2 7 5" xfId="10238" xr:uid="{C3EFDFBF-4F21-41FF-913B-8CD6B2F1C53D}"/>
    <cellStyle name="Normal 4 2 2 7 6" xfId="18685" xr:uid="{4BBA91AD-7EB2-4C44-BA90-779A12B2FFF7}"/>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69FA5E83-9CE3-49FF-A203-9473DC32E663}"/>
    <cellStyle name="Normal 4 2 2 8 2 2 3" xfId="25460" xr:uid="{5E00D781-2920-4DE8-9267-CB07DCB97F40}"/>
    <cellStyle name="Normal 4 2 2 8 2 3" xfId="12796" xr:uid="{8B78EEA7-A5FC-4C7E-98A1-FD064A4C148E}"/>
    <cellStyle name="Normal 4 2 2 8 2 4" xfId="21243" xr:uid="{2D690026-FE0C-4D39-ACA0-6503A44EF1AD}"/>
    <cellStyle name="Normal 4 2 2 8 3" xfId="5542" xr:uid="{00000000-0005-0000-0000-000025130000}"/>
    <cellStyle name="Normal 4 2 2 8 3 2" xfId="14868" xr:uid="{98F7617E-730E-44C4-8CE9-C422D1447246}"/>
    <cellStyle name="Normal 4 2 2 8 3 3" xfId="23315" xr:uid="{83CCC6A7-EC2E-4D47-A7EF-837575448F27}"/>
    <cellStyle name="Normal 4 2 2 8 4" xfId="10651" xr:uid="{06B2BDC2-6F97-4262-B9DD-58CC12491284}"/>
    <cellStyle name="Normal 4 2 2 8 5" xfId="19098" xr:uid="{72AE3823-1574-46FE-9D85-B6B6714880FD}"/>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82DAC5AE-B75A-4C4D-9642-4F888398CB5C}"/>
    <cellStyle name="Normal 4 2 2 9 2 2 3" xfId="25873" xr:uid="{DFA3EE87-6434-432A-B607-EF75B94E628B}"/>
    <cellStyle name="Normal 4 2 2 9 2 3" xfId="13209" xr:uid="{268E35AA-1613-49E5-9094-7F70C31EC390}"/>
    <cellStyle name="Normal 4 2 2 9 2 4" xfId="21656" xr:uid="{97A8F4D5-ED51-4A28-88C0-A04DB443FA73}"/>
    <cellStyle name="Normal 4 2 2 9 3" xfId="5955" xr:uid="{00000000-0005-0000-0000-000029130000}"/>
    <cellStyle name="Normal 4 2 2 9 3 2" xfId="15281" xr:uid="{2C3467C7-E12E-431F-B5FD-DB9F8E706ADD}"/>
    <cellStyle name="Normal 4 2 2 9 3 3" xfId="23728" xr:uid="{954D45D5-583F-4597-9619-C85C834B8F06}"/>
    <cellStyle name="Normal 4 2 2 9 4" xfId="11064" xr:uid="{817A7ACD-03DE-4A09-8BD2-D458261A66AA}"/>
    <cellStyle name="Normal 4 2 2 9 5" xfId="19511" xr:uid="{1CD0B29C-28DB-41C4-AA33-4FC06BF0D0CB}"/>
    <cellStyle name="Normal 4 2 3" xfId="354" xr:uid="{00000000-0005-0000-0000-00002A130000}"/>
    <cellStyle name="Normal 4 2 4" xfId="355" xr:uid="{00000000-0005-0000-0000-00002B130000}"/>
    <cellStyle name="Normal 4 2 4 10" xfId="4732" xr:uid="{00000000-0005-0000-0000-00002C130000}"/>
    <cellStyle name="Normal 4 2 4 10 2" xfId="14058" xr:uid="{1A1AC7D1-C698-46A5-BB6C-4B5105747A5B}"/>
    <cellStyle name="Normal 4 2 4 10 3" xfId="22505" xr:uid="{9B30736C-CA30-4833-BCC6-3E6D03CAF8A1}"/>
    <cellStyle name="Normal 4 2 4 11" xfId="8775" xr:uid="{7AC259AB-9C32-4DC1-A787-2E2187A7C2D6}"/>
    <cellStyle name="Normal 4 2 4 12" xfId="9841" xr:uid="{F1255DD4-7C6B-41A8-A11D-60FC270A9EDF}"/>
    <cellStyle name="Normal 4 2 4 13" xfId="18288" xr:uid="{C08F467A-1D8A-4FFF-903B-ED80369FAE6F}"/>
    <cellStyle name="Normal 4 2 4 2" xfId="356" xr:uid="{00000000-0005-0000-0000-00002D130000}"/>
    <cellStyle name="Normal 4 2 4 2 10" xfId="8820" xr:uid="{8B50D4F4-4786-467C-8322-69D665B73C2B}"/>
    <cellStyle name="Normal 4 2 4 2 11" xfId="9842" xr:uid="{4AD786FA-7835-499D-9C5A-1CA4BD531F1E}"/>
    <cellStyle name="Normal 4 2 4 2 12" xfId="18289" xr:uid="{E331E745-736E-4FAB-B6C7-FAB23C6A94D9}"/>
    <cellStyle name="Normal 4 2 4 2 2" xfId="357" xr:uid="{00000000-0005-0000-0000-00002E130000}"/>
    <cellStyle name="Normal 4 2 4 2 2 10" xfId="9843" xr:uid="{C57B364E-3B12-4B89-93A1-F2653A9004A2}"/>
    <cellStyle name="Normal 4 2 4 2 2 11" xfId="18290" xr:uid="{2781166A-2A70-46EA-8570-DD04689BB88B}"/>
    <cellStyle name="Normal 4 2 4 2 2 2" xfId="358" xr:uid="{00000000-0005-0000-0000-00002F130000}"/>
    <cellStyle name="Normal 4 2 4 2 2 2 10" xfId="18291" xr:uid="{86AAF2CB-D1CA-454D-A30F-886B043B850C}"/>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EF099315-F954-428E-AD8D-025C32669EDF}"/>
    <cellStyle name="Normal 4 2 4 2 2 2 2 2 2 3" xfId="25066" xr:uid="{CA9880E0-6622-46B3-B665-57421EDC4D44}"/>
    <cellStyle name="Normal 4 2 4 2 2 2 2 2 3" xfId="12402" xr:uid="{2404C605-EB03-4742-9F5F-57F5E30F2487}"/>
    <cellStyle name="Normal 4 2 4 2 2 2 2 2 4" xfId="20849" xr:uid="{23A9D430-ABDE-484E-8367-E27A6EFB8E47}"/>
    <cellStyle name="Normal 4 2 4 2 2 2 2 3" xfId="5148" xr:uid="{00000000-0005-0000-0000-000033130000}"/>
    <cellStyle name="Normal 4 2 4 2 2 2 2 3 2" xfId="14474" xr:uid="{4683A737-1CE6-45E1-AB9D-35AC8AA57599}"/>
    <cellStyle name="Normal 4 2 4 2 2 2 2 3 3" xfId="22921" xr:uid="{4EFDEE5A-B568-442E-AC5C-FFD53A2EC69E}"/>
    <cellStyle name="Normal 4 2 4 2 2 2 2 4" xfId="9555" xr:uid="{31AE7BD4-4F26-4658-9939-15FCE733560E}"/>
    <cellStyle name="Normal 4 2 4 2 2 2 2 5" xfId="10257" xr:uid="{978B9C8D-9F67-4798-BE75-5293C1DA12FA}"/>
    <cellStyle name="Normal 4 2 4 2 2 2 2 6" xfId="18704" xr:uid="{FE3C93E4-4517-4C51-BD9E-644453C3BBD4}"/>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AD1902E8-80AF-4E30-816D-79B843C76FC9}"/>
    <cellStyle name="Normal 4 2 4 2 2 2 3 2 2 3" xfId="25479" xr:uid="{A8B3113B-1AAA-4D0E-BE8E-36874A0B1777}"/>
    <cellStyle name="Normal 4 2 4 2 2 2 3 2 3" xfId="12815" xr:uid="{C0002B44-8F07-4C69-BD3A-DED6B7BCE5DA}"/>
    <cellStyle name="Normal 4 2 4 2 2 2 3 2 4" xfId="21262" xr:uid="{04AC0382-7481-4967-9DEC-4284BC464034}"/>
    <cellStyle name="Normal 4 2 4 2 2 2 3 3" xfId="5561" xr:uid="{00000000-0005-0000-0000-000037130000}"/>
    <cellStyle name="Normal 4 2 4 2 2 2 3 3 2" xfId="14887" xr:uid="{3ED513F5-F359-4121-A345-B987F78343AB}"/>
    <cellStyle name="Normal 4 2 4 2 2 2 3 3 3" xfId="23334" xr:uid="{9359AD35-DF2B-4FCE-8A2B-136346FD0F27}"/>
    <cellStyle name="Normal 4 2 4 2 2 2 3 4" xfId="10670" xr:uid="{A054668A-23EE-4C5B-A294-1DFF89525C64}"/>
    <cellStyle name="Normal 4 2 4 2 2 2 3 5" xfId="19117" xr:uid="{02F66A9D-21BC-4CE5-823F-C78D04DA52BF}"/>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A0677DE3-CFB1-47FD-9894-373FCE69ED32}"/>
    <cellStyle name="Normal 4 2 4 2 2 2 4 2 2 3" xfId="25892" xr:uid="{A54B617B-A6EE-443E-B30F-153D9F01B968}"/>
    <cellStyle name="Normal 4 2 4 2 2 2 4 2 3" xfId="13228" xr:uid="{CF4FB77B-04D0-4D85-B430-1FFA8E431ED4}"/>
    <cellStyle name="Normal 4 2 4 2 2 2 4 2 4" xfId="21675" xr:uid="{07591F14-9002-4800-AF27-7377F3BC067A}"/>
    <cellStyle name="Normal 4 2 4 2 2 2 4 3" xfId="5974" xr:uid="{00000000-0005-0000-0000-00003B130000}"/>
    <cellStyle name="Normal 4 2 4 2 2 2 4 3 2" xfId="15300" xr:uid="{3C84B829-2923-45AD-B47D-B89ACCE81994}"/>
    <cellStyle name="Normal 4 2 4 2 2 2 4 3 3" xfId="23747" xr:uid="{DD5B1B21-B42E-4499-A302-BAA4774A5276}"/>
    <cellStyle name="Normal 4 2 4 2 2 2 4 4" xfId="11083" xr:uid="{92C59FD8-178D-49F2-9E9A-8D01B0B74989}"/>
    <cellStyle name="Normal 4 2 4 2 2 2 4 5" xfId="19530" xr:uid="{F147E992-A334-4D7D-9A89-D3967C7C0697}"/>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D2A14293-7895-49E8-971A-7BE0D2501B24}"/>
    <cellStyle name="Normal 4 2 4 2 2 2 5 2 2 3" xfId="26305" xr:uid="{311B9D15-5F3B-4AA0-9D77-3B6DA32ECC34}"/>
    <cellStyle name="Normal 4 2 4 2 2 2 5 2 3" xfId="13641" xr:uid="{B9CBEFC3-404C-4D5D-84A1-FE3979D5F4A7}"/>
    <cellStyle name="Normal 4 2 4 2 2 2 5 2 4" xfId="22088" xr:uid="{B6661F7D-23A8-481E-9BC6-7DB01646A869}"/>
    <cellStyle name="Normal 4 2 4 2 2 2 5 3" xfId="6387" xr:uid="{00000000-0005-0000-0000-00003F130000}"/>
    <cellStyle name="Normal 4 2 4 2 2 2 5 3 2" xfId="15713" xr:uid="{15F98C66-91D5-4D5A-9177-F4E4279CF20E}"/>
    <cellStyle name="Normal 4 2 4 2 2 2 5 3 3" xfId="24160" xr:uid="{B46E8D41-28FC-4407-A333-8B1CEDB4BFEE}"/>
    <cellStyle name="Normal 4 2 4 2 2 2 5 4" xfId="11496" xr:uid="{6EF433DC-72E9-4B34-B0E6-6D6C8D1F07C2}"/>
    <cellStyle name="Normal 4 2 4 2 2 2 5 5" xfId="19943" xr:uid="{E54F0F23-A52F-4AAF-9B0C-02524B21A5C0}"/>
    <cellStyle name="Normal 4 2 4 2 2 2 6" xfId="2517" xr:uid="{00000000-0005-0000-0000-000040130000}"/>
    <cellStyle name="Normal 4 2 4 2 2 2 6 2" xfId="6800" xr:uid="{00000000-0005-0000-0000-000041130000}"/>
    <cellStyle name="Normal 4 2 4 2 2 2 6 2 2" xfId="16126" xr:uid="{94AEF014-AC50-47E2-9C53-67CA999477E9}"/>
    <cellStyle name="Normal 4 2 4 2 2 2 6 2 3" xfId="24573" xr:uid="{63EF4642-8BAC-4326-B840-9104B12A0D5C}"/>
    <cellStyle name="Normal 4 2 4 2 2 2 6 3" xfId="11909" xr:uid="{B78C6BF8-150C-409E-8472-E58A8BA081CA}"/>
    <cellStyle name="Normal 4 2 4 2 2 2 6 4" xfId="20356" xr:uid="{4A6BE9CD-E860-44BC-8035-DAEAC36257B6}"/>
    <cellStyle name="Normal 4 2 4 2 2 2 7" xfId="4735" xr:uid="{00000000-0005-0000-0000-000042130000}"/>
    <cellStyle name="Normal 4 2 4 2 2 2 7 2" xfId="14061" xr:uid="{A9C3402F-F46C-40C0-BE4C-597F645E12BD}"/>
    <cellStyle name="Normal 4 2 4 2 2 2 7 3" xfId="22508" xr:uid="{ECEBD069-C288-4947-8C94-B5B3734FA435}"/>
    <cellStyle name="Normal 4 2 4 2 2 2 8" xfId="9130" xr:uid="{E4AAEB37-D6CE-4BD9-A166-BE52F754DAC4}"/>
    <cellStyle name="Normal 4 2 4 2 2 2 9" xfId="9844" xr:uid="{03D977C4-CB57-43EC-A932-0DF257D1E461}"/>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242E173E-1568-44C6-A667-05237F86040E}"/>
    <cellStyle name="Normal 4 2 4 2 2 3 2 2 3" xfId="25065" xr:uid="{20AF1760-A06A-4BC1-95AE-FCC63BDAE7BC}"/>
    <cellStyle name="Normal 4 2 4 2 2 3 2 3" xfId="12401" xr:uid="{A63BDDDB-73DE-4FA7-AACE-09589F77DB73}"/>
    <cellStyle name="Normal 4 2 4 2 2 3 2 4" xfId="20848" xr:uid="{28608186-BF32-423E-829F-521080C349B4}"/>
    <cellStyle name="Normal 4 2 4 2 2 3 3" xfId="5147" xr:uid="{00000000-0005-0000-0000-000046130000}"/>
    <cellStyle name="Normal 4 2 4 2 2 3 3 2" xfId="14473" xr:uid="{385505EB-465C-4E4C-A0EF-5566A82FD8A2}"/>
    <cellStyle name="Normal 4 2 4 2 2 3 3 3" xfId="22920" xr:uid="{3C3A9591-7423-43A5-92A3-BBAE645BABB6}"/>
    <cellStyle name="Normal 4 2 4 2 2 3 4" xfId="9348" xr:uid="{E9E52CF6-B3CF-482F-B496-A22B0452951D}"/>
    <cellStyle name="Normal 4 2 4 2 2 3 5" xfId="10256" xr:uid="{46AA942D-5D0C-47DB-8057-0E60E6723986}"/>
    <cellStyle name="Normal 4 2 4 2 2 3 6" xfId="18703" xr:uid="{D40663EB-3DEA-4FB5-963B-6313FFF0862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0F9A49AD-6029-42F3-93C3-627AB8F12750}"/>
    <cellStyle name="Normal 4 2 4 2 2 4 2 2 3" xfId="25478" xr:uid="{5F540608-5E02-47A8-80AD-720D6AF7F3B1}"/>
    <cellStyle name="Normal 4 2 4 2 2 4 2 3" xfId="12814" xr:uid="{1976C768-4222-429B-95F2-A7EEEA1744CA}"/>
    <cellStyle name="Normal 4 2 4 2 2 4 2 4" xfId="21261" xr:uid="{02D362AB-F975-4207-9E37-62226AD1D35B}"/>
    <cellStyle name="Normal 4 2 4 2 2 4 3" xfId="5560" xr:uid="{00000000-0005-0000-0000-00004A130000}"/>
    <cellStyle name="Normal 4 2 4 2 2 4 3 2" xfId="14886" xr:uid="{32882D34-D87E-43D9-A114-5B23F44923EB}"/>
    <cellStyle name="Normal 4 2 4 2 2 4 3 3" xfId="23333" xr:uid="{CB98FF04-D37D-46CB-86C1-4C38D9B7ECA0}"/>
    <cellStyle name="Normal 4 2 4 2 2 4 4" xfId="10669" xr:uid="{FCC54313-A6BD-44EE-8960-02F7715A5E2F}"/>
    <cellStyle name="Normal 4 2 4 2 2 4 5" xfId="19116" xr:uid="{95EDAB37-B9DB-4972-BB79-8ADF2BDCC9D1}"/>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FB4B9BC0-6977-443C-B736-B5EF491F0B8B}"/>
    <cellStyle name="Normal 4 2 4 2 2 5 2 2 3" xfId="25891" xr:uid="{F1F9FF3F-58FE-4290-B594-24BA1F85DB39}"/>
    <cellStyle name="Normal 4 2 4 2 2 5 2 3" xfId="13227" xr:uid="{CF1F6ECB-2903-4066-B53E-FF3E58E0C758}"/>
    <cellStyle name="Normal 4 2 4 2 2 5 2 4" xfId="21674" xr:uid="{31F419B5-1B7D-4846-95C5-8E812D728289}"/>
    <cellStyle name="Normal 4 2 4 2 2 5 3" xfId="5973" xr:uid="{00000000-0005-0000-0000-00004E130000}"/>
    <cellStyle name="Normal 4 2 4 2 2 5 3 2" xfId="15299" xr:uid="{8A122917-BAB1-4D3B-AE68-CAFCA96132B2}"/>
    <cellStyle name="Normal 4 2 4 2 2 5 3 3" xfId="23746" xr:uid="{AF025E1A-C893-4FDA-9B33-D72BC3A59C1B}"/>
    <cellStyle name="Normal 4 2 4 2 2 5 4" xfId="11082" xr:uid="{4FF61CA8-9BFA-4CAF-A3CB-D2655B162BE0}"/>
    <cellStyle name="Normal 4 2 4 2 2 5 5" xfId="19529" xr:uid="{72428B77-92D2-480B-91D5-6B1163A682D5}"/>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7C8CAC10-5B44-49F0-A74E-7B2BEF2924BE}"/>
    <cellStyle name="Normal 4 2 4 2 2 6 2 2 3" xfId="26304" xr:uid="{D7E66D33-7081-4C91-9AF5-FE91A7629E43}"/>
    <cellStyle name="Normal 4 2 4 2 2 6 2 3" xfId="13640" xr:uid="{25C00A41-8E1E-4C1B-AE36-86E3D2F74B60}"/>
    <cellStyle name="Normal 4 2 4 2 2 6 2 4" xfId="22087" xr:uid="{0563F8A4-28CF-41E1-8B06-55F321BDF113}"/>
    <cellStyle name="Normal 4 2 4 2 2 6 3" xfId="6386" xr:uid="{00000000-0005-0000-0000-000052130000}"/>
    <cellStyle name="Normal 4 2 4 2 2 6 3 2" xfId="15712" xr:uid="{D0738F5D-4B84-460A-957A-0799317687D3}"/>
    <cellStyle name="Normal 4 2 4 2 2 6 3 3" xfId="24159" xr:uid="{5F6405C5-7238-41CD-9AFF-2673FC485742}"/>
    <cellStyle name="Normal 4 2 4 2 2 6 4" xfId="11495" xr:uid="{84B25F94-BA1B-4CD5-AE75-79C9F555E02B}"/>
    <cellStyle name="Normal 4 2 4 2 2 6 5" xfId="19942" xr:uid="{3A37F815-6864-4DB8-A975-E25F2256E4F6}"/>
    <cellStyle name="Normal 4 2 4 2 2 7" xfId="2516" xr:uid="{00000000-0005-0000-0000-000053130000}"/>
    <cellStyle name="Normal 4 2 4 2 2 7 2" xfId="6799" xr:uid="{00000000-0005-0000-0000-000054130000}"/>
    <cellStyle name="Normal 4 2 4 2 2 7 2 2" xfId="16125" xr:uid="{EE9F9BF4-814A-451D-AE2F-8AC07FE951BE}"/>
    <cellStyle name="Normal 4 2 4 2 2 7 2 3" xfId="24572" xr:uid="{A67C76BF-6AA9-4441-8B8F-E7F05B06B636}"/>
    <cellStyle name="Normal 4 2 4 2 2 7 3" xfId="11908" xr:uid="{02957361-DCC5-4F80-8F4A-DFFE7F45D5BE}"/>
    <cellStyle name="Normal 4 2 4 2 2 7 4" xfId="20355" xr:uid="{E4F7BD22-5591-42A4-BD67-14D3D578A8EC}"/>
    <cellStyle name="Normal 4 2 4 2 2 8" xfId="4734" xr:uid="{00000000-0005-0000-0000-000055130000}"/>
    <cellStyle name="Normal 4 2 4 2 2 8 2" xfId="14060" xr:uid="{E4DC55ED-3047-4B4F-8814-483DE7DADA59}"/>
    <cellStyle name="Normal 4 2 4 2 2 8 3" xfId="22507" xr:uid="{76387C65-EF66-4231-AB46-403B9CFB51FC}"/>
    <cellStyle name="Normal 4 2 4 2 2 9" xfId="8923" xr:uid="{2BBE6936-33B8-4624-9F85-2EE83C62ACB2}"/>
    <cellStyle name="Normal 4 2 4 2 3" xfId="359" xr:uid="{00000000-0005-0000-0000-000056130000}"/>
    <cellStyle name="Normal 4 2 4 2 3 10" xfId="18292" xr:uid="{D134727D-27D2-4B18-A6CF-9F40B30CA865}"/>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7346BF2F-2791-4427-9F68-7553234BA625}"/>
    <cellStyle name="Normal 4 2 4 2 3 2 2 2 3" xfId="25067" xr:uid="{63C1F2C4-FA33-4172-A33B-DD3DD6319312}"/>
    <cellStyle name="Normal 4 2 4 2 3 2 2 3" xfId="12403" xr:uid="{A01E20FB-FCEF-465D-AA7A-E230A950CAFB}"/>
    <cellStyle name="Normal 4 2 4 2 3 2 2 4" xfId="20850" xr:uid="{B18160A9-85F8-42B1-879B-124D7C4A2CD2}"/>
    <cellStyle name="Normal 4 2 4 2 3 2 3" xfId="5149" xr:uid="{00000000-0005-0000-0000-00005A130000}"/>
    <cellStyle name="Normal 4 2 4 2 3 2 3 2" xfId="14475" xr:uid="{8E91752C-DC15-4D67-9224-DD3081E4AF1E}"/>
    <cellStyle name="Normal 4 2 4 2 3 2 3 3" xfId="22922" xr:uid="{DB93ED4B-500E-4DF1-97A3-9A78AD1C90A3}"/>
    <cellStyle name="Normal 4 2 4 2 3 2 4" xfId="9452" xr:uid="{58F46659-8F00-4705-8554-54AEBE9B8A77}"/>
    <cellStyle name="Normal 4 2 4 2 3 2 5" xfId="10258" xr:uid="{99D9069E-E324-49D4-9792-D36C2D822BF6}"/>
    <cellStyle name="Normal 4 2 4 2 3 2 6" xfId="18705" xr:uid="{41654E1D-8077-4D6F-9FE5-C9E152DB621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B4EC188F-53C2-4D98-A1CA-49065DF608D9}"/>
    <cellStyle name="Normal 4 2 4 2 3 3 2 2 3" xfId="25480" xr:uid="{57F35A52-5BB9-4D93-9EB6-1A1C1FD13BC5}"/>
    <cellStyle name="Normal 4 2 4 2 3 3 2 3" xfId="12816" xr:uid="{3E901A32-ACFC-4BC5-AFFE-904D2253A758}"/>
    <cellStyle name="Normal 4 2 4 2 3 3 2 4" xfId="21263" xr:uid="{08F6CDA1-5B2B-416D-8E84-96E1C297041B}"/>
    <cellStyle name="Normal 4 2 4 2 3 3 3" xfId="5562" xr:uid="{00000000-0005-0000-0000-00005E130000}"/>
    <cellStyle name="Normal 4 2 4 2 3 3 3 2" xfId="14888" xr:uid="{366626BD-21B6-42A1-86FF-4408A287BD52}"/>
    <cellStyle name="Normal 4 2 4 2 3 3 3 3" xfId="23335" xr:uid="{D255A747-2E11-4617-9709-E70096C1C4EF}"/>
    <cellStyle name="Normal 4 2 4 2 3 3 4" xfId="10671" xr:uid="{8C92CAD1-9BB4-4FEA-B2A5-5A37321262A7}"/>
    <cellStyle name="Normal 4 2 4 2 3 3 5" xfId="19118" xr:uid="{A2E2CF2A-49F8-4749-A2D3-2D1D54CE252C}"/>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F6C4E661-4BDC-4AF9-B126-36EAEE4CABFC}"/>
    <cellStyle name="Normal 4 2 4 2 3 4 2 2 3" xfId="25893" xr:uid="{4FE727B4-643A-44F5-ADA0-0A18F4B9D17E}"/>
    <cellStyle name="Normal 4 2 4 2 3 4 2 3" xfId="13229" xr:uid="{91C51550-51AA-4F69-A7FA-6F4A67780A62}"/>
    <cellStyle name="Normal 4 2 4 2 3 4 2 4" xfId="21676" xr:uid="{924F93E6-6AD2-48CC-A08C-BD65857668B5}"/>
    <cellStyle name="Normal 4 2 4 2 3 4 3" xfId="5975" xr:uid="{00000000-0005-0000-0000-000062130000}"/>
    <cellStyle name="Normal 4 2 4 2 3 4 3 2" xfId="15301" xr:uid="{CA5D98EA-2A3D-4792-A305-5A517D642A78}"/>
    <cellStyle name="Normal 4 2 4 2 3 4 3 3" xfId="23748" xr:uid="{ED151413-E8AA-4D1F-AA54-BE60CE21E02C}"/>
    <cellStyle name="Normal 4 2 4 2 3 4 4" xfId="11084" xr:uid="{67007E7F-848B-4DA2-9D2D-BBDCE4F5DE9F}"/>
    <cellStyle name="Normal 4 2 4 2 3 4 5" xfId="19531" xr:uid="{0DB6BE6F-CA07-4522-A0C8-83082C6BB1CC}"/>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A62AA0C4-6C04-4723-AF2D-9B1DE8D37523}"/>
    <cellStyle name="Normal 4 2 4 2 3 5 2 2 3" xfId="26306" xr:uid="{7E36B281-0930-47B0-9F7E-62AD0A56E6A1}"/>
    <cellStyle name="Normal 4 2 4 2 3 5 2 3" xfId="13642" xr:uid="{154E07EE-6B7C-48D5-9434-83AAC49FCD3B}"/>
    <cellStyle name="Normal 4 2 4 2 3 5 2 4" xfId="22089" xr:uid="{EB4AF46D-23A7-4F52-9850-D642CAE85382}"/>
    <cellStyle name="Normal 4 2 4 2 3 5 3" xfId="6388" xr:uid="{00000000-0005-0000-0000-000066130000}"/>
    <cellStyle name="Normal 4 2 4 2 3 5 3 2" xfId="15714" xr:uid="{98924811-302B-45F0-89EE-A6C92CF8C0FA}"/>
    <cellStyle name="Normal 4 2 4 2 3 5 3 3" xfId="24161" xr:uid="{D2F1768E-1098-46D4-AAE3-EB69B8E655BB}"/>
    <cellStyle name="Normal 4 2 4 2 3 5 4" xfId="11497" xr:uid="{40F592F8-0677-488A-B9DC-FC8B1FE58C53}"/>
    <cellStyle name="Normal 4 2 4 2 3 5 5" xfId="19944" xr:uid="{319BF934-6600-4D0A-A724-93FF9FD845C2}"/>
    <cellStyle name="Normal 4 2 4 2 3 6" xfId="2518" xr:uid="{00000000-0005-0000-0000-000067130000}"/>
    <cellStyle name="Normal 4 2 4 2 3 6 2" xfId="6801" xr:uid="{00000000-0005-0000-0000-000068130000}"/>
    <cellStyle name="Normal 4 2 4 2 3 6 2 2" xfId="16127" xr:uid="{9151F52C-D2EE-4378-A6DB-4E075F2B6087}"/>
    <cellStyle name="Normal 4 2 4 2 3 6 2 3" xfId="24574" xr:uid="{8BAD3450-639E-4584-A890-78DDDEAEFE4F}"/>
    <cellStyle name="Normal 4 2 4 2 3 6 3" xfId="11910" xr:uid="{F909034B-1E54-4196-BD76-3D5B82A1CBCD}"/>
    <cellStyle name="Normal 4 2 4 2 3 6 4" xfId="20357" xr:uid="{D76FEB59-0C9A-4052-9793-895A974B1523}"/>
    <cellStyle name="Normal 4 2 4 2 3 7" xfId="4736" xr:uid="{00000000-0005-0000-0000-000069130000}"/>
    <cellStyle name="Normal 4 2 4 2 3 7 2" xfId="14062" xr:uid="{65D42B38-2456-442E-9B8E-B94BAA798A03}"/>
    <cellStyle name="Normal 4 2 4 2 3 7 3" xfId="22509" xr:uid="{D9EF44A0-2BF9-4650-8FC6-0D613BA46C7E}"/>
    <cellStyle name="Normal 4 2 4 2 3 8" xfId="9027" xr:uid="{DA430019-E492-48BB-ACD5-5BE853C50FBC}"/>
    <cellStyle name="Normal 4 2 4 2 3 9" xfId="9845" xr:uid="{5EA2B5B9-2528-4F9B-A144-7AC77C563635}"/>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C8E30324-4AB4-4EC0-B025-606D5922F575}"/>
    <cellStyle name="Normal 4 2 4 2 4 2 2 3" xfId="25064" xr:uid="{FFDC1A27-242E-4025-BCD5-EE393E8D5550}"/>
    <cellStyle name="Normal 4 2 4 2 4 2 3" xfId="12400" xr:uid="{3D795704-C7A3-490F-9024-6DDBC2705E89}"/>
    <cellStyle name="Normal 4 2 4 2 4 2 4" xfId="20847" xr:uid="{58B10657-CD20-43A3-B633-ACE131313478}"/>
    <cellStyle name="Normal 4 2 4 2 4 3" xfId="5146" xr:uid="{00000000-0005-0000-0000-00006D130000}"/>
    <cellStyle name="Normal 4 2 4 2 4 3 2" xfId="14472" xr:uid="{0FD08ADA-9F2F-417B-BD14-42457A4F64DB}"/>
    <cellStyle name="Normal 4 2 4 2 4 3 3" xfId="22919" xr:uid="{03C2D955-0486-4E13-B562-38FBDC0ABE8C}"/>
    <cellStyle name="Normal 4 2 4 2 4 4" xfId="9245" xr:uid="{A0383DD8-843E-4601-922A-5CDD979D0589}"/>
    <cellStyle name="Normal 4 2 4 2 4 5" xfId="10255" xr:uid="{82EFBE74-3C1A-4E8C-BD3A-0E9F01B039B3}"/>
    <cellStyle name="Normal 4 2 4 2 4 6" xfId="18702" xr:uid="{26AB2C3B-8414-468E-A55E-FAD7A9F3CD1A}"/>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D6A543CF-DDE2-4C72-8534-49B8444DC314}"/>
    <cellStyle name="Normal 4 2 4 2 5 2 2 3" xfId="25477" xr:uid="{C078C5F9-16A8-4820-9B4F-13D645021331}"/>
    <cellStyle name="Normal 4 2 4 2 5 2 3" xfId="12813" xr:uid="{9666D9F9-2B25-4D71-94A3-2F3E5E1E6B43}"/>
    <cellStyle name="Normal 4 2 4 2 5 2 4" xfId="21260" xr:uid="{98AD1664-DE66-483B-83E9-C464B1716810}"/>
    <cellStyle name="Normal 4 2 4 2 5 3" xfId="5559" xr:uid="{00000000-0005-0000-0000-000071130000}"/>
    <cellStyle name="Normal 4 2 4 2 5 3 2" xfId="14885" xr:uid="{C70AF839-1C4B-47A1-B09B-1CCE3E668B0A}"/>
    <cellStyle name="Normal 4 2 4 2 5 3 3" xfId="23332" xr:uid="{C98ADC58-4070-4B5B-A81E-51F493C4ACEF}"/>
    <cellStyle name="Normal 4 2 4 2 5 4" xfId="10668" xr:uid="{33DB776F-7D52-4201-A993-84BEA6685C13}"/>
    <cellStyle name="Normal 4 2 4 2 5 5" xfId="19115" xr:uid="{F7520633-2E65-418A-AD7D-63A456A337FE}"/>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CAA63FFE-33AD-42BD-AB6F-A72E9CC62186}"/>
    <cellStyle name="Normal 4 2 4 2 6 2 2 3" xfId="25890" xr:uid="{01D40E8E-A8D3-4257-A488-38AE4528DBA9}"/>
    <cellStyle name="Normal 4 2 4 2 6 2 3" xfId="13226" xr:uid="{3D00C439-3D69-417A-BC09-901C997288BA}"/>
    <cellStyle name="Normal 4 2 4 2 6 2 4" xfId="21673" xr:uid="{735E452D-CD56-4F67-BBBA-B806DEAB92E6}"/>
    <cellStyle name="Normal 4 2 4 2 6 3" xfId="5972" xr:uid="{00000000-0005-0000-0000-000075130000}"/>
    <cellStyle name="Normal 4 2 4 2 6 3 2" xfId="15298" xr:uid="{7BCF3945-6581-40BC-BECB-D1B28F1A0E84}"/>
    <cellStyle name="Normal 4 2 4 2 6 3 3" xfId="23745" xr:uid="{9064C5D5-456C-4F34-AA30-4770E2777D1A}"/>
    <cellStyle name="Normal 4 2 4 2 6 4" xfId="11081" xr:uid="{8DDEF864-9F6F-4350-A6E0-53577619C975}"/>
    <cellStyle name="Normal 4 2 4 2 6 5" xfId="19528" xr:uid="{37AE0EB9-76B0-4E3E-9CD4-9B850B684018}"/>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AA4F478B-242D-4133-99A0-CBFD9A0CE961}"/>
    <cellStyle name="Normal 4 2 4 2 7 2 2 3" xfId="26303" xr:uid="{09DE533F-8CD1-4EC3-9A29-48BCB8C824C0}"/>
    <cellStyle name="Normal 4 2 4 2 7 2 3" xfId="13639" xr:uid="{0830A102-E32D-42E0-B656-2A4A65429B62}"/>
    <cellStyle name="Normal 4 2 4 2 7 2 4" xfId="22086" xr:uid="{1D7B54D0-B781-4D21-A945-38DA3C7EFB50}"/>
    <cellStyle name="Normal 4 2 4 2 7 3" xfId="6385" xr:uid="{00000000-0005-0000-0000-000079130000}"/>
    <cellStyle name="Normal 4 2 4 2 7 3 2" xfId="15711" xr:uid="{E9FD3672-E7B4-47C2-BC1D-CE2BC71CB8E8}"/>
    <cellStyle name="Normal 4 2 4 2 7 3 3" xfId="24158" xr:uid="{F3246759-E4C3-4E06-A8CE-C812475E5C85}"/>
    <cellStyle name="Normal 4 2 4 2 7 4" xfId="11494" xr:uid="{FD35A3C6-2992-4EFE-9373-64D8B55A0BB7}"/>
    <cellStyle name="Normal 4 2 4 2 7 5" xfId="19941" xr:uid="{DA7872B6-07FC-4D7C-8098-AA08B70610C7}"/>
    <cellStyle name="Normal 4 2 4 2 8" xfId="2515" xr:uid="{00000000-0005-0000-0000-00007A130000}"/>
    <cellStyle name="Normal 4 2 4 2 8 2" xfId="6798" xr:uid="{00000000-0005-0000-0000-00007B130000}"/>
    <cellStyle name="Normal 4 2 4 2 8 2 2" xfId="16124" xr:uid="{97D87C15-9924-4132-926C-3D9EABD3836E}"/>
    <cellStyle name="Normal 4 2 4 2 8 2 3" xfId="24571" xr:uid="{010242FD-2836-41AF-85F0-7B7C51759D19}"/>
    <cellStyle name="Normal 4 2 4 2 8 3" xfId="11907" xr:uid="{8FE9D3EF-8FAB-42E2-BFAC-716D85076625}"/>
    <cellStyle name="Normal 4 2 4 2 8 4" xfId="20354" xr:uid="{ECD3B7D8-C0A7-44D3-95F4-7DDED497FABA}"/>
    <cellStyle name="Normal 4 2 4 2 9" xfId="4733" xr:uid="{00000000-0005-0000-0000-00007C130000}"/>
    <cellStyle name="Normal 4 2 4 2 9 2" xfId="14059" xr:uid="{779DA4C4-1F73-4CD5-8B39-200E67249E41}"/>
    <cellStyle name="Normal 4 2 4 2 9 3" xfId="22506" xr:uid="{F370F774-3FE1-423C-98FE-B1BC83E83B04}"/>
    <cellStyle name="Normal 4 2 4 3" xfId="360" xr:uid="{00000000-0005-0000-0000-00007D130000}"/>
    <cellStyle name="Normal 4 2 4 3 10" xfId="9846" xr:uid="{E9904A48-6F05-4984-9AD2-2481FE99DDC9}"/>
    <cellStyle name="Normal 4 2 4 3 11" xfId="18293" xr:uid="{56D2E5ED-B4EC-48D5-BFE8-80817E080B8E}"/>
    <cellStyle name="Normal 4 2 4 3 2" xfId="361" xr:uid="{00000000-0005-0000-0000-00007E130000}"/>
    <cellStyle name="Normal 4 2 4 3 2 10" xfId="18294" xr:uid="{C6BC52C9-F6CA-4A4D-8AB1-603EB7B53325}"/>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D3529E16-75BA-4BC7-8B25-1F057900F3A4}"/>
    <cellStyle name="Normal 4 2 4 3 2 2 2 2 3" xfId="25069" xr:uid="{F27582B6-A790-4494-8EE7-76CAD48CC594}"/>
    <cellStyle name="Normal 4 2 4 3 2 2 2 3" xfId="12405" xr:uid="{91625E08-AE60-4761-806B-3A0007424D1D}"/>
    <cellStyle name="Normal 4 2 4 3 2 2 2 4" xfId="20852" xr:uid="{92622E62-AFA7-4BFB-BE07-0078B8DE64E9}"/>
    <cellStyle name="Normal 4 2 4 3 2 2 3" xfId="5151" xr:uid="{00000000-0005-0000-0000-000082130000}"/>
    <cellStyle name="Normal 4 2 4 3 2 2 3 2" xfId="14477" xr:uid="{83B136F6-7959-402B-BD13-55A8A016F846}"/>
    <cellStyle name="Normal 4 2 4 3 2 2 3 3" xfId="22924" xr:uid="{132E8A8C-5000-4F36-8B23-464946582773}"/>
    <cellStyle name="Normal 4 2 4 3 2 2 4" xfId="9510" xr:uid="{AA534F18-B7F5-44D9-AE7D-03E6DE45E4F9}"/>
    <cellStyle name="Normal 4 2 4 3 2 2 5" xfId="10260" xr:uid="{1A8BD91A-4F3D-44D0-B36B-E438F7C5E2C5}"/>
    <cellStyle name="Normal 4 2 4 3 2 2 6" xfId="18707" xr:uid="{6E9560D9-AB30-4C0D-B7DA-7B6B15E22126}"/>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8A707A0F-3373-4622-B742-49BD7A0AC30F}"/>
    <cellStyle name="Normal 4 2 4 3 2 3 2 2 3" xfId="25482" xr:uid="{46AD3C2F-FA95-419B-9433-A9D4C5BEC716}"/>
    <cellStyle name="Normal 4 2 4 3 2 3 2 3" xfId="12818" xr:uid="{11F0BC54-2460-489E-BBAB-1F5FC5B27A34}"/>
    <cellStyle name="Normal 4 2 4 3 2 3 2 4" xfId="21265" xr:uid="{2EFC5874-8331-4BC2-A8FF-5795A9F46192}"/>
    <cellStyle name="Normal 4 2 4 3 2 3 3" xfId="5564" xr:uid="{00000000-0005-0000-0000-000086130000}"/>
    <cellStyle name="Normal 4 2 4 3 2 3 3 2" xfId="14890" xr:uid="{959E7CAE-B776-4650-B901-E5F7E29237AA}"/>
    <cellStyle name="Normal 4 2 4 3 2 3 3 3" xfId="23337" xr:uid="{AB68CE1F-71D0-4DBD-8B04-D04BA06157CE}"/>
    <cellStyle name="Normal 4 2 4 3 2 3 4" xfId="10673" xr:uid="{954BD4CF-8A7A-467C-B424-391AC1D5CD14}"/>
    <cellStyle name="Normal 4 2 4 3 2 3 5" xfId="19120" xr:uid="{36BBEBF3-5DC1-4C8D-A517-E392E51DD683}"/>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04EF67FD-80AA-454D-B285-696396F1E385}"/>
    <cellStyle name="Normal 4 2 4 3 2 4 2 2 3" xfId="25895" xr:uid="{FB8AB46A-29EC-47ED-8F9F-E3F6207BC691}"/>
    <cellStyle name="Normal 4 2 4 3 2 4 2 3" xfId="13231" xr:uid="{02B758B2-7D06-4720-8EB5-88FCD40A0787}"/>
    <cellStyle name="Normal 4 2 4 3 2 4 2 4" xfId="21678" xr:uid="{E5D71576-52E1-4E0B-B671-9DA510C327F1}"/>
    <cellStyle name="Normal 4 2 4 3 2 4 3" xfId="5977" xr:uid="{00000000-0005-0000-0000-00008A130000}"/>
    <cellStyle name="Normal 4 2 4 3 2 4 3 2" xfId="15303" xr:uid="{455CE7BA-BCF8-4C5D-8F58-0C11F76D46B7}"/>
    <cellStyle name="Normal 4 2 4 3 2 4 3 3" xfId="23750" xr:uid="{6135442E-7010-420F-A36D-89FC9223E3E1}"/>
    <cellStyle name="Normal 4 2 4 3 2 4 4" xfId="11086" xr:uid="{26FBEE34-21F3-4796-AAB0-5C1F48383B80}"/>
    <cellStyle name="Normal 4 2 4 3 2 4 5" xfId="19533" xr:uid="{02382B11-DFF8-4CA0-BB49-B14FBA90BD1E}"/>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60BDE8BF-5E63-46A5-AD68-1296A407C5F2}"/>
    <cellStyle name="Normal 4 2 4 3 2 5 2 2 3" xfId="26308" xr:uid="{4502A352-3797-4439-9B3D-CA83CA9F1C44}"/>
    <cellStyle name="Normal 4 2 4 3 2 5 2 3" xfId="13644" xr:uid="{D51673F7-1206-4461-BF52-80CA97F0EA93}"/>
    <cellStyle name="Normal 4 2 4 3 2 5 2 4" xfId="22091" xr:uid="{CCD1AEEA-4266-426A-924B-BF11019931D5}"/>
    <cellStyle name="Normal 4 2 4 3 2 5 3" xfId="6390" xr:uid="{00000000-0005-0000-0000-00008E130000}"/>
    <cellStyle name="Normal 4 2 4 3 2 5 3 2" xfId="15716" xr:uid="{714A00AC-7CAD-4A3E-8AE9-51C91EB4D73B}"/>
    <cellStyle name="Normal 4 2 4 3 2 5 3 3" xfId="24163" xr:uid="{80F9F9AB-785F-4843-9BD3-5E58DA71728F}"/>
    <cellStyle name="Normal 4 2 4 3 2 5 4" xfId="11499" xr:uid="{D4EF0A2F-B0F4-48CD-97B5-188B5DF9DEBC}"/>
    <cellStyle name="Normal 4 2 4 3 2 5 5" xfId="19946" xr:uid="{095330FF-282C-4B49-B927-58B027347FEB}"/>
    <cellStyle name="Normal 4 2 4 3 2 6" xfId="2520" xr:uid="{00000000-0005-0000-0000-00008F130000}"/>
    <cellStyle name="Normal 4 2 4 3 2 6 2" xfId="6803" xr:uid="{00000000-0005-0000-0000-000090130000}"/>
    <cellStyle name="Normal 4 2 4 3 2 6 2 2" xfId="16129" xr:uid="{A4E7BD12-D8A2-4038-905F-1E819C859D5D}"/>
    <cellStyle name="Normal 4 2 4 3 2 6 2 3" xfId="24576" xr:uid="{3EAE93C4-746A-439B-B428-DED76959987A}"/>
    <cellStyle name="Normal 4 2 4 3 2 6 3" xfId="11912" xr:uid="{93A252D1-CA21-4EFA-A353-330C63468C4C}"/>
    <cellStyle name="Normal 4 2 4 3 2 6 4" xfId="20359" xr:uid="{635B9FE9-C228-408D-8FD1-48F22EBB1BA7}"/>
    <cellStyle name="Normal 4 2 4 3 2 7" xfId="4738" xr:uid="{00000000-0005-0000-0000-000091130000}"/>
    <cellStyle name="Normal 4 2 4 3 2 7 2" xfId="14064" xr:uid="{3A570319-C126-41A9-B093-74D3D64BE166}"/>
    <cellStyle name="Normal 4 2 4 3 2 7 3" xfId="22511" xr:uid="{2C0FFB3F-223B-43CA-970E-5090AA487791}"/>
    <cellStyle name="Normal 4 2 4 3 2 8" xfId="9085" xr:uid="{0181E53C-86DC-4588-8447-D559FCF01541}"/>
    <cellStyle name="Normal 4 2 4 3 2 9" xfId="9847" xr:uid="{494C7EAD-031C-4F3F-9BAC-BF2E834FF47D}"/>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AB61F7A5-9319-44CE-AB36-1F119373D4EC}"/>
    <cellStyle name="Normal 4 2 4 3 3 2 2 3" xfId="25068" xr:uid="{4ED4C8F2-F6EE-40F3-87A0-BC37B9117C40}"/>
    <cellStyle name="Normal 4 2 4 3 3 2 3" xfId="12404" xr:uid="{054A5852-B14F-46A1-B1CA-5733E9BD2CD5}"/>
    <cellStyle name="Normal 4 2 4 3 3 2 4" xfId="20851" xr:uid="{92708AB3-1F52-4BF4-AA1C-71B570A04BAA}"/>
    <cellStyle name="Normal 4 2 4 3 3 3" xfId="5150" xr:uid="{00000000-0005-0000-0000-000095130000}"/>
    <cellStyle name="Normal 4 2 4 3 3 3 2" xfId="14476" xr:uid="{8E2BD8DB-F757-47E2-9C7D-AD5F4AAB9950}"/>
    <cellStyle name="Normal 4 2 4 3 3 3 3" xfId="22923" xr:uid="{C0EB1DAC-426E-4DE5-B22E-B111A5F2B96A}"/>
    <cellStyle name="Normal 4 2 4 3 3 4" xfId="9303" xr:uid="{51CE977A-E9B9-47DD-B6CE-3ECF34A578F1}"/>
    <cellStyle name="Normal 4 2 4 3 3 5" xfId="10259" xr:uid="{31283A6C-6070-48A8-841F-25D913F8E4CE}"/>
    <cellStyle name="Normal 4 2 4 3 3 6" xfId="18706" xr:uid="{12E60890-1745-4008-8CC5-F2DCC0AC8E63}"/>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E5E05E2B-A5C6-4638-A660-406275CAC06E}"/>
    <cellStyle name="Normal 4 2 4 3 4 2 2 3" xfId="25481" xr:uid="{4F5E9F83-BEE4-47E2-9575-E4BF809C1223}"/>
    <cellStyle name="Normal 4 2 4 3 4 2 3" xfId="12817" xr:uid="{B3A59E8B-3BD0-4395-978C-5D6A65DB20F6}"/>
    <cellStyle name="Normal 4 2 4 3 4 2 4" xfId="21264" xr:uid="{28C9E6B8-E389-49DD-BF34-D3C9210640F1}"/>
    <cellStyle name="Normal 4 2 4 3 4 3" xfId="5563" xr:uid="{00000000-0005-0000-0000-000099130000}"/>
    <cellStyle name="Normal 4 2 4 3 4 3 2" xfId="14889" xr:uid="{89F18C67-2960-48EC-B906-9DF89294C05A}"/>
    <cellStyle name="Normal 4 2 4 3 4 3 3" xfId="23336" xr:uid="{20A73FA7-B63D-46F4-A80B-A1E45474A85A}"/>
    <cellStyle name="Normal 4 2 4 3 4 4" xfId="10672" xr:uid="{90F11ED4-AC1A-4DA0-80CC-DEDCB43AB0BD}"/>
    <cellStyle name="Normal 4 2 4 3 4 5" xfId="19119" xr:uid="{D39F100C-D082-4F91-9BAE-4DEE28BFCAA7}"/>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06F56342-3A88-403D-A721-A75D491487D6}"/>
    <cellStyle name="Normal 4 2 4 3 5 2 2 3" xfId="25894" xr:uid="{5EBF2104-BDEC-4AA7-8AA1-7BC34EB0A321}"/>
    <cellStyle name="Normal 4 2 4 3 5 2 3" xfId="13230" xr:uid="{A3DDD286-57E3-4C03-9212-F5CD7631E53F}"/>
    <cellStyle name="Normal 4 2 4 3 5 2 4" xfId="21677" xr:uid="{9EED39EB-8BAB-419E-A820-C2133C2E64E1}"/>
    <cellStyle name="Normal 4 2 4 3 5 3" xfId="5976" xr:uid="{00000000-0005-0000-0000-00009D130000}"/>
    <cellStyle name="Normal 4 2 4 3 5 3 2" xfId="15302" xr:uid="{1B46F25E-2B2E-46EB-999A-037D51E30200}"/>
    <cellStyle name="Normal 4 2 4 3 5 3 3" xfId="23749" xr:uid="{6156B2CF-35BB-4E6D-8F7E-ED2C8E8A6CA5}"/>
    <cellStyle name="Normal 4 2 4 3 5 4" xfId="11085" xr:uid="{310A5B8B-D40F-481F-B407-2C844C0BD1A4}"/>
    <cellStyle name="Normal 4 2 4 3 5 5" xfId="19532" xr:uid="{5908B358-FFC0-412F-B038-3500E605D2C8}"/>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14206923-665E-4590-B5C8-39BD3DB6D0D5}"/>
    <cellStyle name="Normal 4 2 4 3 6 2 2 3" xfId="26307" xr:uid="{8EE52396-3F66-454F-8171-DA10A8BDB6CE}"/>
    <cellStyle name="Normal 4 2 4 3 6 2 3" xfId="13643" xr:uid="{A0F1708E-A0E8-4516-BCD1-1379553AC001}"/>
    <cellStyle name="Normal 4 2 4 3 6 2 4" xfId="22090" xr:uid="{693920AF-33FE-402C-9A19-F1D695CF452D}"/>
    <cellStyle name="Normal 4 2 4 3 6 3" xfId="6389" xr:uid="{00000000-0005-0000-0000-0000A1130000}"/>
    <cellStyle name="Normal 4 2 4 3 6 3 2" xfId="15715" xr:uid="{987B6C55-D054-43D1-A04C-FED16C854056}"/>
    <cellStyle name="Normal 4 2 4 3 6 3 3" xfId="24162" xr:uid="{EB12AF3A-96DA-4AE1-94A4-C5CDC5388C37}"/>
    <cellStyle name="Normal 4 2 4 3 6 4" xfId="11498" xr:uid="{71278CB0-834B-417C-A7A2-94B8E247C8DB}"/>
    <cellStyle name="Normal 4 2 4 3 6 5" xfId="19945" xr:uid="{23E7A7A9-7A2D-4A21-BF0C-5864F652B1FF}"/>
    <cellStyle name="Normal 4 2 4 3 7" xfId="2519" xr:uid="{00000000-0005-0000-0000-0000A2130000}"/>
    <cellStyle name="Normal 4 2 4 3 7 2" xfId="6802" xr:uid="{00000000-0005-0000-0000-0000A3130000}"/>
    <cellStyle name="Normal 4 2 4 3 7 2 2" xfId="16128" xr:uid="{A0B1F049-14F8-488C-A32F-DF7B706A74A5}"/>
    <cellStyle name="Normal 4 2 4 3 7 2 3" xfId="24575" xr:uid="{46D71E29-207C-44D4-920D-8322E12B661F}"/>
    <cellStyle name="Normal 4 2 4 3 7 3" xfId="11911" xr:uid="{29FEF943-9A31-4055-AAFD-1720F4E1F807}"/>
    <cellStyle name="Normal 4 2 4 3 7 4" xfId="20358" xr:uid="{6F74CCD4-D9C0-4FF3-9840-5FFD86CC4A1A}"/>
    <cellStyle name="Normal 4 2 4 3 8" xfId="4737" xr:uid="{00000000-0005-0000-0000-0000A4130000}"/>
    <cellStyle name="Normal 4 2 4 3 8 2" xfId="14063" xr:uid="{9D768A52-C55F-4AA9-B3E3-116A1BB2897C}"/>
    <cellStyle name="Normal 4 2 4 3 8 3" xfId="22510" xr:uid="{F0D61C7C-838D-4B0D-AC73-28F8B12B729C}"/>
    <cellStyle name="Normal 4 2 4 3 9" xfId="8878" xr:uid="{B73EE68A-BBFC-4E7A-B773-E14FCCFC8837}"/>
    <cellStyle name="Normal 4 2 4 4" xfId="362" xr:uid="{00000000-0005-0000-0000-0000A5130000}"/>
    <cellStyle name="Normal 4 2 4 4 10" xfId="18295" xr:uid="{62096D0B-B6DB-4807-9465-48CE2F4BD1AC}"/>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A8E86C5C-3593-49DE-8C8E-F7E7C38C2620}"/>
    <cellStyle name="Normal 4 2 4 4 2 2 2 3" xfId="25070" xr:uid="{8750836A-4372-49AC-A99E-27D7955D28FE}"/>
    <cellStyle name="Normal 4 2 4 4 2 2 3" xfId="12406" xr:uid="{14BEB89F-9C98-4C78-BEB8-21E79FA5891A}"/>
    <cellStyle name="Normal 4 2 4 4 2 2 4" xfId="20853" xr:uid="{B47449FB-0AF2-402C-9862-B5C069DF55C0}"/>
    <cellStyle name="Normal 4 2 4 4 2 3" xfId="5152" xr:uid="{00000000-0005-0000-0000-0000A9130000}"/>
    <cellStyle name="Normal 4 2 4 4 2 3 2" xfId="14478" xr:uid="{2C76417E-95B2-4248-849C-B2E175FEBABC}"/>
    <cellStyle name="Normal 4 2 4 4 2 3 3" xfId="22925" xr:uid="{20891ED8-1D33-4BF3-B615-15E43CFF0328}"/>
    <cellStyle name="Normal 4 2 4 4 2 4" xfId="9407" xr:uid="{5D8D6A7A-388E-41EC-80E9-28307FA015D6}"/>
    <cellStyle name="Normal 4 2 4 4 2 5" xfId="10261" xr:uid="{54D0B0D9-5A2D-408F-A1A1-24DCE2F0D0B5}"/>
    <cellStyle name="Normal 4 2 4 4 2 6" xfId="18708" xr:uid="{3297427B-B7A7-4D1E-8100-DC99E3CC7DC4}"/>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101A0616-201B-4615-A4BE-D829C87DFA67}"/>
    <cellStyle name="Normal 4 2 4 4 3 2 2 3" xfId="25483" xr:uid="{F4F915F9-9953-40EA-A748-569B9AC0E1E2}"/>
    <cellStyle name="Normal 4 2 4 4 3 2 3" xfId="12819" xr:uid="{F5CB4CD5-09CA-4993-A63F-DDBA73A42541}"/>
    <cellStyle name="Normal 4 2 4 4 3 2 4" xfId="21266" xr:uid="{F992107E-1574-4589-8D80-658A72C55E2A}"/>
    <cellStyle name="Normal 4 2 4 4 3 3" xfId="5565" xr:uid="{00000000-0005-0000-0000-0000AD130000}"/>
    <cellStyle name="Normal 4 2 4 4 3 3 2" xfId="14891" xr:uid="{AD739744-6F1B-469F-BF75-77AAAD53C8C3}"/>
    <cellStyle name="Normal 4 2 4 4 3 3 3" xfId="23338" xr:uid="{DCBBC3C7-3EA3-4615-A766-42190F517172}"/>
    <cellStyle name="Normal 4 2 4 4 3 4" xfId="10674" xr:uid="{5953C3DE-6FCF-4E16-A21B-A057EC5F302E}"/>
    <cellStyle name="Normal 4 2 4 4 3 5" xfId="19121" xr:uid="{65115BB4-D1D2-4123-BAD0-27D83C55E6A4}"/>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992EDFCA-92CF-4326-8C8C-CC771A47DDB5}"/>
    <cellStyle name="Normal 4 2 4 4 4 2 2 3" xfId="25896" xr:uid="{C4401C9D-722B-44FE-B668-47DA56648057}"/>
    <cellStyle name="Normal 4 2 4 4 4 2 3" xfId="13232" xr:uid="{3646E8BD-CED7-445A-B4F2-EA4BFE5F8DE8}"/>
    <cellStyle name="Normal 4 2 4 4 4 2 4" xfId="21679" xr:uid="{EA12C50D-90E4-47E4-B5B4-461553C172EE}"/>
    <cellStyle name="Normal 4 2 4 4 4 3" xfId="5978" xr:uid="{00000000-0005-0000-0000-0000B1130000}"/>
    <cellStyle name="Normal 4 2 4 4 4 3 2" xfId="15304" xr:uid="{E94D8DA2-4457-4F14-9871-7FF1FBEE9D97}"/>
    <cellStyle name="Normal 4 2 4 4 4 3 3" xfId="23751" xr:uid="{46B8A06E-4F05-477F-A405-F6C45F0B03BA}"/>
    <cellStyle name="Normal 4 2 4 4 4 4" xfId="11087" xr:uid="{E748458B-45A2-40AD-8F96-ACD20C32FBCD}"/>
    <cellStyle name="Normal 4 2 4 4 4 5" xfId="19534" xr:uid="{6458B23B-62D1-4E14-95D9-7CAE051DB3C5}"/>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AC60D8FF-AF82-491B-B98C-12980975EF17}"/>
    <cellStyle name="Normal 4 2 4 4 5 2 2 3" xfId="26309" xr:uid="{93FB62A3-C4A5-4980-ABF3-5ECB613D2F15}"/>
    <cellStyle name="Normal 4 2 4 4 5 2 3" xfId="13645" xr:uid="{8E437B99-35DD-4E42-BD3C-C3310E747298}"/>
    <cellStyle name="Normal 4 2 4 4 5 2 4" xfId="22092" xr:uid="{420D4602-6CF1-424D-AE9A-10E56113A4FA}"/>
    <cellStyle name="Normal 4 2 4 4 5 3" xfId="6391" xr:uid="{00000000-0005-0000-0000-0000B5130000}"/>
    <cellStyle name="Normal 4 2 4 4 5 3 2" xfId="15717" xr:uid="{29B4B958-C5C2-4176-85C3-CAADEE8173BC}"/>
    <cellStyle name="Normal 4 2 4 4 5 3 3" xfId="24164" xr:uid="{E6D93EE8-CBDB-4A07-BCA6-DEED9209B618}"/>
    <cellStyle name="Normal 4 2 4 4 5 4" xfId="11500" xr:uid="{CA5805E0-9B4E-4E82-BC55-87D831F49EBE}"/>
    <cellStyle name="Normal 4 2 4 4 5 5" xfId="19947" xr:uid="{B0A7C0FD-7C8E-4529-AE52-663BB47F2361}"/>
    <cellStyle name="Normal 4 2 4 4 6" xfId="2521" xr:uid="{00000000-0005-0000-0000-0000B6130000}"/>
    <cellStyle name="Normal 4 2 4 4 6 2" xfId="6804" xr:uid="{00000000-0005-0000-0000-0000B7130000}"/>
    <cellStyle name="Normal 4 2 4 4 6 2 2" xfId="16130" xr:uid="{53F2901F-5D85-4DE7-B6E7-629693F16C0C}"/>
    <cellStyle name="Normal 4 2 4 4 6 2 3" xfId="24577" xr:uid="{B439F5CB-3C9E-4B69-9C34-9632A5566388}"/>
    <cellStyle name="Normal 4 2 4 4 6 3" xfId="11913" xr:uid="{3D5E49BD-BDC0-43DE-B399-580B97089010}"/>
    <cellStyle name="Normal 4 2 4 4 6 4" xfId="20360" xr:uid="{34A6849F-6B32-440B-85DE-FC66FF02BC79}"/>
    <cellStyle name="Normal 4 2 4 4 7" xfId="4739" xr:uid="{00000000-0005-0000-0000-0000B8130000}"/>
    <cellStyle name="Normal 4 2 4 4 7 2" xfId="14065" xr:uid="{D5BF8667-098C-4514-B719-9972F2635847}"/>
    <cellStyle name="Normal 4 2 4 4 7 3" xfId="22512" xr:uid="{A6BBF4F9-339D-437D-81A9-C6479D61C61E}"/>
    <cellStyle name="Normal 4 2 4 4 8" xfId="8982" xr:uid="{4C273C9B-E12E-4EF2-812F-666600229207}"/>
    <cellStyle name="Normal 4 2 4 4 9" xfId="9848" xr:uid="{7306DE2A-3E66-46FA-B147-E8C44CC5E28A}"/>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4EA6DE04-D078-4E19-A404-0E2C1BA906BA}"/>
    <cellStyle name="Normal 4 2 4 5 2 2 3" xfId="25063" xr:uid="{FB367894-8E3B-4133-8ACF-0A2AD82CD642}"/>
    <cellStyle name="Normal 4 2 4 5 2 3" xfId="12399" xr:uid="{ADDED3A7-67FE-40EF-8A1E-DD58E135C111}"/>
    <cellStyle name="Normal 4 2 4 5 2 4" xfId="20846" xr:uid="{EA8761F1-1F5D-47EF-87FC-557E78367241}"/>
    <cellStyle name="Normal 4 2 4 5 3" xfId="5145" xr:uid="{00000000-0005-0000-0000-0000BC130000}"/>
    <cellStyle name="Normal 4 2 4 5 3 2" xfId="14471" xr:uid="{A32CE0A4-F659-4580-9E8D-A871A4628499}"/>
    <cellStyle name="Normal 4 2 4 5 3 3" xfId="22918" xr:uid="{24DA0D9E-A92E-4A88-AFDC-2D2C9BD28188}"/>
    <cellStyle name="Normal 4 2 4 5 4" xfId="9199" xr:uid="{1A9A2DC3-2FEA-4A30-A92C-84708E9B2741}"/>
    <cellStyle name="Normal 4 2 4 5 5" xfId="10254" xr:uid="{B1A583ED-9D19-492C-B57C-40007C26AF2B}"/>
    <cellStyle name="Normal 4 2 4 5 6" xfId="18701" xr:uid="{307E87BA-FAAA-4A25-9237-3591FE5D782B}"/>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D7167A81-7898-4F28-9053-556AADCD3D59}"/>
    <cellStyle name="Normal 4 2 4 6 2 2 3" xfId="25476" xr:uid="{251D9BEA-4B06-46B8-853D-CB29CCC5E7A4}"/>
    <cellStyle name="Normal 4 2 4 6 2 3" xfId="12812" xr:uid="{6BC4F5A2-EAB4-4CD8-9534-74E333055A1F}"/>
    <cellStyle name="Normal 4 2 4 6 2 4" xfId="21259" xr:uid="{3EC83EB3-A576-47C0-ACEE-05D347ADF261}"/>
    <cellStyle name="Normal 4 2 4 6 3" xfId="5558" xr:uid="{00000000-0005-0000-0000-0000C0130000}"/>
    <cellStyle name="Normal 4 2 4 6 3 2" xfId="14884" xr:uid="{A9790C0D-5D75-4E27-A4DD-2937D4A0F447}"/>
    <cellStyle name="Normal 4 2 4 6 3 3" xfId="23331" xr:uid="{B336B9E5-D34B-4650-A298-124D35D54433}"/>
    <cellStyle name="Normal 4 2 4 6 4" xfId="10667" xr:uid="{3599166B-55C7-44F4-88EF-8883D36C6165}"/>
    <cellStyle name="Normal 4 2 4 6 5" xfId="19114" xr:uid="{237C1B6E-C80D-4AEF-8E5C-D9D2FE235734}"/>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D7B0CF5B-18F6-4DC4-AFD2-17E3D056C23B}"/>
    <cellStyle name="Normal 4 2 4 7 2 2 3" xfId="25889" xr:uid="{9A21A7C9-4D44-49B6-894C-BDBF5A0F710F}"/>
    <cellStyle name="Normal 4 2 4 7 2 3" xfId="13225" xr:uid="{9A5D2A50-F883-443B-84B1-B82ABA7C2C47}"/>
    <cellStyle name="Normal 4 2 4 7 2 4" xfId="21672" xr:uid="{7EEF170B-B512-476B-992B-62A18B36F3A0}"/>
    <cellStyle name="Normal 4 2 4 7 3" xfId="5971" xr:uid="{00000000-0005-0000-0000-0000C4130000}"/>
    <cellStyle name="Normal 4 2 4 7 3 2" xfId="15297" xr:uid="{F7047724-E749-4E2D-AC88-6FB108C81345}"/>
    <cellStyle name="Normal 4 2 4 7 3 3" xfId="23744" xr:uid="{3C65DA7F-A49F-4C53-961C-8F017FCFB11F}"/>
    <cellStyle name="Normal 4 2 4 7 4" xfId="11080" xr:uid="{26769932-7C1A-4E55-BB82-CEBA21546B51}"/>
    <cellStyle name="Normal 4 2 4 7 5" xfId="19527" xr:uid="{78A45AF3-8A41-4954-BB40-BE32864FCCD9}"/>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4A752BD3-BDC9-4384-BAA7-D3FCF92FBD99}"/>
    <cellStyle name="Normal 4 2 4 8 2 2 3" xfId="26302" xr:uid="{577983CB-A9D8-4E3D-8E19-0FA78910DCC7}"/>
    <cellStyle name="Normal 4 2 4 8 2 3" xfId="13638" xr:uid="{60A54E7F-C914-41DD-8162-7B2C950D7B19}"/>
    <cellStyle name="Normal 4 2 4 8 2 4" xfId="22085" xr:uid="{0B08D120-01DD-4975-B575-4C77B5674DA4}"/>
    <cellStyle name="Normal 4 2 4 8 3" xfId="6384" xr:uid="{00000000-0005-0000-0000-0000C8130000}"/>
    <cellStyle name="Normal 4 2 4 8 3 2" xfId="15710" xr:uid="{7A9642E7-EEB0-4EC9-843C-F877FB366837}"/>
    <cellStyle name="Normal 4 2 4 8 3 3" xfId="24157" xr:uid="{55AFE633-E8C3-4F73-B2EF-9F4833E7813E}"/>
    <cellStyle name="Normal 4 2 4 8 4" xfId="11493" xr:uid="{5F3554C8-A512-48F5-970C-BB5DF83C027F}"/>
    <cellStyle name="Normal 4 2 4 8 5" xfId="19940" xr:uid="{F68A627B-16A3-46F5-B5A0-2859D4B900C7}"/>
    <cellStyle name="Normal 4 2 4 9" xfId="2514" xr:uid="{00000000-0005-0000-0000-0000C9130000}"/>
    <cellStyle name="Normal 4 2 4 9 2" xfId="6797" xr:uid="{00000000-0005-0000-0000-0000CA130000}"/>
    <cellStyle name="Normal 4 2 4 9 2 2" xfId="16123" xr:uid="{7C540612-3BCE-43DD-B209-CCADF27AC503}"/>
    <cellStyle name="Normal 4 2 4 9 2 3" xfId="24570" xr:uid="{8B8C5898-F059-4D9C-9DE6-D8943CD466ED}"/>
    <cellStyle name="Normal 4 2 4 9 3" xfId="11906" xr:uid="{1444A176-051D-4D4F-A257-012B0F7F7257}"/>
    <cellStyle name="Normal 4 2 4 9 4" xfId="20353" xr:uid="{A583216E-220C-40B2-97B1-B330724C0544}"/>
    <cellStyle name="Normal 4 2 5" xfId="363" xr:uid="{00000000-0005-0000-0000-0000CB130000}"/>
    <cellStyle name="Normal 4 2 5 10" xfId="9849" xr:uid="{68C5A717-D86B-4598-865E-AF1A38BAE0E1}"/>
    <cellStyle name="Normal 4 2 5 11" xfId="18296" xr:uid="{6A7BE06B-25CF-433C-A113-65B042DD07B5}"/>
    <cellStyle name="Normal 4 2 5 2" xfId="364" xr:uid="{00000000-0005-0000-0000-0000CC130000}"/>
    <cellStyle name="Normal 4 2 5 2 10" xfId="18297" xr:uid="{58517136-F22F-4D29-8A7B-5B9B73C0FAE4}"/>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EA833C6B-5678-471C-865A-5F8A46BACD14}"/>
    <cellStyle name="Normal 4 2 5 2 2 2 2 3" xfId="25072" xr:uid="{B9FE487A-343E-4EA4-BF4B-3054EB879610}"/>
    <cellStyle name="Normal 4 2 5 2 2 2 3" xfId="12408" xr:uid="{B373FA63-FF09-47E7-92CA-025642911404}"/>
    <cellStyle name="Normal 4 2 5 2 2 2 4" xfId="20855" xr:uid="{ED41BFF3-6B93-4FBD-A00B-7D978B38D969}"/>
    <cellStyle name="Normal 4 2 5 2 2 3" xfId="5154" xr:uid="{00000000-0005-0000-0000-0000D0130000}"/>
    <cellStyle name="Normal 4 2 5 2 2 3 2" xfId="14480" xr:uid="{E925D824-8FC0-48C7-8379-9488B7EB0172}"/>
    <cellStyle name="Normal 4 2 5 2 2 3 3" xfId="22927" xr:uid="{9EDA8126-8C40-4734-9C69-DE3621C7C8BA}"/>
    <cellStyle name="Normal 4 2 5 2 2 4" xfId="9478" xr:uid="{9FEAEEC2-067D-4244-BB0F-0858128140EB}"/>
    <cellStyle name="Normal 4 2 5 2 2 5" xfId="10263" xr:uid="{531F310F-6ECD-4418-B9EA-854EF37CA754}"/>
    <cellStyle name="Normal 4 2 5 2 2 6" xfId="18710" xr:uid="{AB8245EE-94AD-49F2-9614-CFD25B13537A}"/>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49D8C737-2AB2-4868-8929-DC144223A1FC}"/>
    <cellStyle name="Normal 4 2 5 2 3 2 2 3" xfId="25485" xr:uid="{EF95A7A1-7E81-486A-ACD6-A2BDF86BEA19}"/>
    <cellStyle name="Normal 4 2 5 2 3 2 3" xfId="12821" xr:uid="{71A0A56D-608D-44A4-A459-F291EC28DC52}"/>
    <cellStyle name="Normal 4 2 5 2 3 2 4" xfId="21268" xr:uid="{7921347C-4805-4104-8925-6502972116F1}"/>
    <cellStyle name="Normal 4 2 5 2 3 3" xfId="5567" xr:uid="{00000000-0005-0000-0000-0000D4130000}"/>
    <cellStyle name="Normal 4 2 5 2 3 3 2" xfId="14893" xr:uid="{65AED743-3045-427A-BDC7-23ACE3DA1887}"/>
    <cellStyle name="Normal 4 2 5 2 3 3 3" xfId="23340" xr:uid="{B5374E78-36DF-477D-92F8-11C9EE62E370}"/>
    <cellStyle name="Normal 4 2 5 2 3 4" xfId="10676" xr:uid="{97852F29-A11E-4D2C-9FDE-F55A4BAA763D}"/>
    <cellStyle name="Normal 4 2 5 2 3 5" xfId="19123" xr:uid="{35396043-4F9F-4DAD-91B2-585C1B78118B}"/>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3D9A1B57-9A86-43DD-9A41-92207EB543B4}"/>
    <cellStyle name="Normal 4 2 5 2 4 2 2 3" xfId="25898" xr:uid="{B8074FEB-C9C3-40DA-9994-D8BB952987D4}"/>
    <cellStyle name="Normal 4 2 5 2 4 2 3" xfId="13234" xr:uid="{DA2F9B06-032B-4AC8-906E-BD49597DFD5E}"/>
    <cellStyle name="Normal 4 2 5 2 4 2 4" xfId="21681" xr:uid="{0766FB53-6C2F-4EC4-BFFB-973C1A058E9F}"/>
    <cellStyle name="Normal 4 2 5 2 4 3" xfId="5980" xr:uid="{00000000-0005-0000-0000-0000D8130000}"/>
    <cellStyle name="Normal 4 2 5 2 4 3 2" xfId="15306" xr:uid="{753DA2C8-3ED0-4CA7-A6F7-697F8F19C7D4}"/>
    <cellStyle name="Normal 4 2 5 2 4 3 3" xfId="23753" xr:uid="{79712C7C-E078-4DAA-946D-DD7883039933}"/>
    <cellStyle name="Normal 4 2 5 2 4 4" xfId="11089" xr:uid="{F7672509-856B-471C-A642-EC1A2F330B83}"/>
    <cellStyle name="Normal 4 2 5 2 4 5" xfId="19536" xr:uid="{21D8A68F-75F0-450C-B144-DDA84EFDC527}"/>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AB72792E-A5F6-4D90-9C41-BC24E1ABE8A3}"/>
    <cellStyle name="Normal 4 2 5 2 5 2 2 3" xfId="26311" xr:uid="{C90A9A39-DB2C-4999-B732-1A43AE2EA83D}"/>
    <cellStyle name="Normal 4 2 5 2 5 2 3" xfId="13647" xr:uid="{D2BC14BC-63EA-44E4-92BD-56D467F94B17}"/>
    <cellStyle name="Normal 4 2 5 2 5 2 4" xfId="22094" xr:uid="{F475D771-9FA6-480D-A450-3DD3C7834502}"/>
    <cellStyle name="Normal 4 2 5 2 5 3" xfId="6393" xr:uid="{00000000-0005-0000-0000-0000DC130000}"/>
    <cellStyle name="Normal 4 2 5 2 5 3 2" xfId="15719" xr:uid="{D7752E9F-1757-4AD0-BE43-7BF737E2B806}"/>
    <cellStyle name="Normal 4 2 5 2 5 3 3" xfId="24166" xr:uid="{93563CD0-E71A-4064-A9DF-E7816A6FAA26}"/>
    <cellStyle name="Normal 4 2 5 2 5 4" xfId="11502" xr:uid="{074F5C2F-9F26-4886-9168-1A85C4562A7B}"/>
    <cellStyle name="Normal 4 2 5 2 5 5" xfId="19949" xr:uid="{9F85090A-916E-4B35-B3C7-6C2F79C53A3F}"/>
    <cellStyle name="Normal 4 2 5 2 6" xfId="2523" xr:uid="{00000000-0005-0000-0000-0000DD130000}"/>
    <cellStyle name="Normal 4 2 5 2 6 2" xfId="6806" xr:uid="{00000000-0005-0000-0000-0000DE130000}"/>
    <cellStyle name="Normal 4 2 5 2 6 2 2" xfId="16132" xr:uid="{504F464E-F968-48D1-BDBF-44893CDAFBE7}"/>
    <cellStyle name="Normal 4 2 5 2 6 2 3" xfId="24579" xr:uid="{AC796585-B05B-4827-84BB-DC407A523115}"/>
    <cellStyle name="Normal 4 2 5 2 6 3" xfId="11915" xr:uid="{A0445119-CBB9-4DC8-981F-6972E45813AF}"/>
    <cellStyle name="Normal 4 2 5 2 6 4" xfId="20362" xr:uid="{5964B548-910E-4BC9-8300-F2665097582D}"/>
    <cellStyle name="Normal 4 2 5 2 7" xfId="4741" xr:uid="{00000000-0005-0000-0000-0000DF130000}"/>
    <cellStyle name="Normal 4 2 5 2 7 2" xfId="14067" xr:uid="{92A41C19-836F-4027-B8F3-9FAF376D1E9F}"/>
    <cellStyle name="Normal 4 2 5 2 7 3" xfId="22514" xr:uid="{D33AFF53-3B4D-403C-8710-0736240338E2}"/>
    <cellStyle name="Normal 4 2 5 2 8" xfId="9053" xr:uid="{0AE18A98-D9E6-47B9-86B0-DDAD3BC77B48}"/>
    <cellStyle name="Normal 4 2 5 2 9" xfId="9850" xr:uid="{BDEAA597-EDD7-4FED-A2C8-78B5EF245CC2}"/>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FB4B537B-11D6-4C19-A246-65883DC56162}"/>
    <cellStyle name="Normal 4 2 5 3 2 2 3" xfId="25071" xr:uid="{2D0B18EE-EB65-4431-A038-39F2CB14D285}"/>
    <cellStyle name="Normal 4 2 5 3 2 3" xfId="12407" xr:uid="{FE3C98C5-7EC8-4408-A893-97503E6D1598}"/>
    <cellStyle name="Normal 4 2 5 3 2 4" xfId="20854" xr:uid="{6CF527CB-0857-46EB-B887-866CC5D65410}"/>
    <cellStyle name="Normal 4 2 5 3 3" xfId="5153" xr:uid="{00000000-0005-0000-0000-0000E3130000}"/>
    <cellStyle name="Normal 4 2 5 3 3 2" xfId="14479" xr:uid="{19CC685C-54E9-4F2D-9F49-31958D527018}"/>
    <cellStyle name="Normal 4 2 5 3 3 3" xfId="22926" xr:uid="{A2734637-6075-425C-873C-437AA6B403CD}"/>
    <cellStyle name="Normal 4 2 5 3 4" xfId="9271" xr:uid="{41AE7BB1-E3C7-48BD-B24F-55AE39E68BB6}"/>
    <cellStyle name="Normal 4 2 5 3 5" xfId="10262" xr:uid="{F8C5F58E-8300-47EA-ABE8-03245E448998}"/>
    <cellStyle name="Normal 4 2 5 3 6" xfId="18709" xr:uid="{0E8EF4C5-3176-4D53-B36A-3B9BBBEFCC22}"/>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8EE0729C-4ADA-4781-8EC3-03423AB24ECE}"/>
    <cellStyle name="Normal 4 2 5 4 2 2 3" xfId="25484" xr:uid="{ABED840B-79FD-4714-9268-D9EDB764D08D}"/>
    <cellStyle name="Normal 4 2 5 4 2 3" xfId="12820" xr:uid="{5E5FE5EC-3B8C-4F13-9428-0861CCCFA7CA}"/>
    <cellStyle name="Normal 4 2 5 4 2 4" xfId="21267" xr:uid="{B2AE0F9A-1667-4CF5-B9D9-8CBA67CD3059}"/>
    <cellStyle name="Normal 4 2 5 4 3" xfId="5566" xr:uid="{00000000-0005-0000-0000-0000E7130000}"/>
    <cellStyle name="Normal 4 2 5 4 3 2" xfId="14892" xr:uid="{3B4E5FEC-1D3E-419E-AAC5-E20A105225EF}"/>
    <cellStyle name="Normal 4 2 5 4 3 3" xfId="23339" xr:uid="{F9231B4E-3613-4606-9489-AE706EA5444C}"/>
    <cellStyle name="Normal 4 2 5 4 4" xfId="10675" xr:uid="{FFDE0318-600E-4EE4-9093-14AADCEBBAEC}"/>
    <cellStyle name="Normal 4 2 5 4 5" xfId="19122" xr:uid="{9BB7BD40-53BD-40CC-8345-350969C4595C}"/>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4B87FD5F-6003-448F-A311-EE2D92A27842}"/>
    <cellStyle name="Normal 4 2 5 5 2 2 3" xfId="25897" xr:uid="{3CDDC456-0204-4425-B458-C94FF29E9A47}"/>
    <cellStyle name="Normal 4 2 5 5 2 3" xfId="13233" xr:uid="{644D4C4E-C8DA-4AAB-9F57-282C25A7B1D3}"/>
    <cellStyle name="Normal 4 2 5 5 2 4" xfId="21680" xr:uid="{451142AF-34CC-4FFB-9B6B-661212D94D0B}"/>
    <cellStyle name="Normal 4 2 5 5 3" xfId="5979" xr:uid="{00000000-0005-0000-0000-0000EB130000}"/>
    <cellStyle name="Normal 4 2 5 5 3 2" xfId="15305" xr:uid="{FBAFC9AC-E8D3-4E81-90AF-4EA07402D999}"/>
    <cellStyle name="Normal 4 2 5 5 3 3" xfId="23752" xr:uid="{018E8B1C-D542-4678-BCD7-C1FB7F4EFF84}"/>
    <cellStyle name="Normal 4 2 5 5 4" xfId="11088" xr:uid="{D54B5DD8-D27B-48E7-81CA-F8E033FE22CC}"/>
    <cellStyle name="Normal 4 2 5 5 5" xfId="19535" xr:uid="{E7DBC2FE-5FD7-47BE-8A43-8AE00B3F2360}"/>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467DD052-C669-4E85-BA0A-EBBA2A24A060}"/>
    <cellStyle name="Normal 4 2 5 6 2 2 3" xfId="26310" xr:uid="{F63AD14A-CC4C-4B29-BC4B-EB7B36BEF5ED}"/>
    <cellStyle name="Normal 4 2 5 6 2 3" xfId="13646" xr:uid="{ECA8FC92-D7CD-4B9A-8339-0AB7763ECB6E}"/>
    <cellStyle name="Normal 4 2 5 6 2 4" xfId="22093" xr:uid="{1EF4ED0E-24EC-41F8-85FD-04CC352CB594}"/>
    <cellStyle name="Normal 4 2 5 6 3" xfId="6392" xr:uid="{00000000-0005-0000-0000-0000EF130000}"/>
    <cellStyle name="Normal 4 2 5 6 3 2" xfId="15718" xr:uid="{2105448F-68D4-43B5-873C-9799EA12987C}"/>
    <cellStyle name="Normal 4 2 5 6 3 3" xfId="24165" xr:uid="{BB8DB2BB-5624-42E8-B5AF-67D1480A17C4}"/>
    <cellStyle name="Normal 4 2 5 6 4" xfId="11501" xr:uid="{7B278899-5565-45BE-8C2B-59A08C99D0C9}"/>
    <cellStyle name="Normal 4 2 5 6 5" xfId="19948" xr:uid="{3AAD1EEA-15F7-4D54-8500-B64F1D7CD58E}"/>
    <cellStyle name="Normal 4 2 5 7" xfId="2522" xr:uid="{00000000-0005-0000-0000-0000F0130000}"/>
    <cellStyle name="Normal 4 2 5 7 2" xfId="6805" xr:uid="{00000000-0005-0000-0000-0000F1130000}"/>
    <cellStyle name="Normal 4 2 5 7 2 2" xfId="16131" xr:uid="{59487DDD-5E58-4F5A-B980-08DB9924D496}"/>
    <cellStyle name="Normal 4 2 5 7 2 3" xfId="24578" xr:uid="{263981C1-C20C-4A0A-A3F2-4BD1F3416E86}"/>
    <cellStyle name="Normal 4 2 5 7 3" xfId="11914" xr:uid="{974754B3-C2DD-439C-BA40-021291D9C380}"/>
    <cellStyle name="Normal 4 2 5 7 4" xfId="20361" xr:uid="{B3B8D6C7-E773-49A6-8ED6-A6583B11F0B7}"/>
    <cellStyle name="Normal 4 2 5 8" xfId="4740" xr:uid="{00000000-0005-0000-0000-0000F2130000}"/>
    <cellStyle name="Normal 4 2 5 8 2" xfId="14066" xr:uid="{A19F112C-730A-4C7B-8DFC-A4FBC9B7B20C}"/>
    <cellStyle name="Normal 4 2 5 8 3" xfId="22513" xr:uid="{C98E75E0-4D0B-44BD-9FD3-69BE3E6ED494}"/>
    <cellStyle name="Normal 4 2 5 9" xfId="8846" xr:uid="{C69C7E2D-02E8-4C87-9C63-A39D0E37A062}"/>
    <cellStyle name="Normal 4 2 6" xfId="365" xr:uid="{00000000-0005-0000-0000-0000F3130000}"/>
    <cellStyle name="Normal 4 2 6 10" xfId="18298" xr:uid="{D4EABDE5-48E5-4674-AD99-2992AD208F47}"/>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4A39E84D-0A33-477D-8CE8-ADA648D6092B}"/>
    <cellStyle name="Normal 4 2 6 2 2 2 3" xfId="25073" xr:uid="{DEB7C716-E21D-498A-9452-7F6C852AC23E}"/>
    <cellStyle name="Normal 4 2 6 2 2 3" xfId="12409" xr:uid="{350736AE-6C0A-4753-8099-79A7C463FE89}"/>
    <cellStyle name="Normal 4 2 6 2 2 4" xfId="20856" xr:uid="{20A217E8-8F9E-450F-9087-097A1B122C94}"/>
    <cellStyle name="Normal 4 2 6 2 3" xfId="5155" xr:uid="{00000000-0005-0000-0000-0000F7130000}"/>
    <cellStyle name="Normal 4 2 6 2 3 2" xfId="14481" xr:uid="{6D2C3AB0-B424-4D97-8A39-49C51B5E00E5}"/>
    <cellStyle name="Normal 4 2 6 2 3 3" xfId="22928" xr:uid="{D4283B62-F31A-4EB6-AEF0-B6F974A80878}"/>
    <cellStyle name="Normal 4 2 6 2 4" xfId="9387" xr:uid="{933EA8C7-37F7-4AF2-922A-47A5CB1A47BC}"/>
    <cellStyle name="Normal 4 2 6 2 5" xfId="10264" xr:uid="{97ABE1C2-F7D0-46D0-A7EA-8121B9EE69D0}"/>
    <cellStyle name="Normal 4 2 6 2 6" xfId="18711" xr:uid="{83BE3623-03AF-42CC-B3EB-1A2000ECEDCF}"/>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1657085C-662F-4A4F-85E5-58678CA8A29C}"/>
    <cellStyle name="Normal 4 2 6 3 2 2 3" xfId="25486" xr:uid="{DFA620F2-6D12-400B-B3C6-04A922410B13}"/>
    <cellStyle name="Normal 4 2 6 3 2 3" xfId="12822" xr:uid="{FA5C8FE0-4C0F-4DEF-B170-A747B4061187}"/>
    <cellStyle name="Normal 4 2 6 3 2 4" xfId="21269" xr:uid="{E013B1D5-247B-4D0C-8A70-2E92FD37DF9F}"/>
    <cellStyle name="Normal 4 2 6 3 3" xfId="5568" xr:uid="{00000000-0005-0000-0000-0000FB130000}"/>
    <cellStyle name="Normal 4 2 6 3 3 2" xfId="14894" xr:uid="{B758591C-57CA-4560-B68B-5FD71742F0DA}"/>
    <cellStyle name="Normal 4 2 6 3 3 3" xfId="23341" xr:uid="{7ACF81FC-6236-40F3-935C-BAF23546B633}"/>
    <cellStyle name="Normal 4 2 6 3 4" xfId="10677" xr:uid="{5B3AE7D1-DF78-461E-99C4-7A76B490D644}"/>
    <cellStyle name="Normal 4 2 6 3 5" xfId="19124" xr:uid="{FA4F53EE-7C8A-425B-9892-0AD402C1DF19}"/>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AC537BED-ECD4-4D72-B5B9-36E07B3B0BAB}"/>
    <cellStyle name="Normal 4 2 6 4 2 2 3" xfId="25899" xr:uid="{F5BA8900-D684-4944-ABAA-07E43FB8C174}"/>
    <cellStyle name="Normal 4 2 6 4 2 3" xfId="13235" xr:uid="{0CBFBD4D-34C0-4E7F-893C-6F4DF376EAB4}"/>
    <cellStyle name="Normal 4 2 6 4 2 4" xfId="21682" xr:uid="{CD7F500C-74E9-4E15-8FC4-ACB17FC6D689}"/>
    <cellStyle name="Normal 4 2 6 4 3" xfId="5981" xr:uid="{00000000-0005-0000-0000-0000FF130000}"/>
    <cellStyle name="Normal 4 2 6 4 3 2" xfId="15307" xr:uid="{29FE6FFC-7514-4538-90BD-1519CDA6EC59}"/>
    <cellStyle name="Normal 4 2 6 4 3 3" xfId="23754" xr:uid="{2BBDCBFB-FE49-4FCA-B769-43DD5771877E}"/>
    <cellStyle name="Normal 4 2 6 4 4" xfId="11090" xr:uid="{BE9C07AD-7377-4F7B-B97F-99CBF29612BA}"/>
    <cellStyle name="Normal 4 2 6 4 5" xfId="19537" xr:uid="{DADC8D96-6E9C-4AC4-94B8-D50AC5182A42}"/>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DC19FE95-C20A-4DE4-8059-4AC4B0988D4B}"/>
    <cellStyle name="Normal 4 2 6 5 2 2 3" xfId="26312" xr:uid="{5B05345D-640B-4E4F-98AC-8C3917D9DB2D}"/>
    <cellStyle name="Normal 4 2 6 5 2 3" xfId="13648" xr:uid="{BB911CA4-B986-47EB-976B-18E8322AC712}"/>
    <cellStyle name="Normal 4 2 6 5 2 4" xfId="22095" xr:uid="{56BB6AFC-A16E-45D9-BFC8-89E4774C510B}"/>
    <cellStyle name="Normal 4 2 6 5 3" xfId="6394" xr:uid="{00000000-0005-0000-0000-000003140000}"/>
    <cellStyle name="Normal 4 2 6 5 3 2" xfId="15720" xr:uid="{57D47AFD-A2B5-480B-8120-15D29B8076ED}"/>
    <cellStyle name="Normal 4 2 6 5 3 3" xfId="24167" xr:uid="{FAF36872-6DB2-463E-8991-6A44A88F1132}"/>
    <cellStyle name="Normal 4 2 6 5 4" xfId="11503" xr:uid="{64F0460C-31D1-4D9B-B0A2-9064870A4C48}"/>
    <cellStyle name="Normal 4 2 6 5 5" xfId="19950" xr:uid="{8807CBCB-78E8-44AF-B143-43612CAA2890}"/>
    <cellStyle name="Normal 4 2 6 6" xfId="2524" xr:uid="{00000000-0005-0000-0000-000004140000}"/>
    <cellStyle name="Normal 4 2 6 6 2" xfId="6807" xr:uid="{00000000-0005-0000-0000-000005140000}"/>
    <cellStyle name="Normal 4 2 6 6 2 2" xfId="16133" xr:uid="{D712A0EF-DE61-4771-A181-4F2C72A0EF1D}"/>
    <cellStyle name="Normal 4 2 6 6 2 3" xfId="24580" xr:uid="{56633661-1FA4-4E0E-82D8-80F285AC6C94}"/>
    <cellStyle name="Normal 4 2 6 6 3" xfId="11916" xr:uid="{29C63C28-8A33-4A5E-ADB9-352755046F17}"/>
    <cellStyle name="Normal 4 2 6 6 4" xfId="20363" xr:uid="{E62EDA2C-AEB2-4F47-B4C5-D03D84A7B491}"/>
    <cellStyle name="Normal 4 2 6 7" xfId="4742" xr:uid="{00000000-0005-0000-0000-000006140000}"/>
    <cellStyle name="Normal 4 2 6 7 2" xfId="14068" xr:uid="{FA896CAD-85C8-408E-BD0F-2C35B0833B93}"/>
    <cellStyle name="Normal 4 2 6 7 3" xfId="22515" xr:uid="{39FEE8DD-15A8-49EE-BAA9-5B2C0F1C49AE}"/>
    <cellStyle name="Normal 4 2 6 8" xfId="8962" xr:uid="{1A1596D6-3914-4465-A638-E540359059D2}"/>
    <cellStyle name="Normal 4 2 6 9" xfId="9851" xr:uid="{BA68F0DC-A4ED-4126-9667-F45D58346BBA}"/>
    <cellStyle name="Normal 4 2 7" xfId="9165" xr:uid="{6363F967-7399-442D-B2CE-00085FF7F1E8}"/>
    <cellStyle name="Normal 4 2 8" xfId="8743" xr:uid="{E2B8331F-47F9-4829-99C7-E05840A106B9}"/>
    <cellStyle name="Normal 4 3" xfId="366" xr:uid="{00000000-0005-0000-0000-000007140000}"/>
    <cellStyle name="Normal 4 3 10" xfId="9852" xr:uid="{445E9F1F-CA2B-4836-B420-DFCBC7F9E9A4}"/>
    <cellStyle name="Normal 4 3 11" xfId="18299" xr:uid="{F58CAF4C-9452-4BAC-9A63-31E49FDCC85A}"/>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1" xfId="9853" xr:uid="{BBE616DC-C734-439F-B589-317195F90F96}"/>
    <cellStyle name="Normal 4 3 2 2 2 12" xfId="18300" xr:uid="{7165D490-FD52-42E1-92DB-F797154EB665}"/>
    <cellStyle name="Normal 4 3 2 2 2 2" xfId="370" xr:uid="{00000000-0005-0000-0000-00000B140000}"/>
    <cellStyle name="Normal 4 3 2 2 2 2 10" xfId="9854" xr:uid="{682093F6-AE8A-463D-8235-1E0721315FA6}"/>
    <cellStyle name="Normal 4 3 2 2 2 2 11" xfId="18301" xr:uid="{155436D9-B6A5-4BC8-A7D5-4949CFD2C64D}"/>
    <cellStyle name="Normal 4 3 2 2 2 2 2" xfId="371" xr:uid="{00000000-0005-0000-0000-00000C140000}"/>
    <cellStyle name="Normal 4 3 2 2 2 2 2 10" xfId="18302" xr:uid="{8F301D56-1D34-452C-9F76-4F49F3EE7929}"/>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8C23E48D-7623-4B7E-870A-2D23D6FD6D65}"/>
    <cellStyle name="Normal 4 3 2 2 2 2 2 2 2 2 3" xfId="25077" xr:uid="{EE866CEC-D484-4C64-97EC-00D185F9F1E2}"/>
    <cellStyle name="Normal 4 3 2 2 2 2 2 2 2 3" xfId="12413" xr:uid="{201C2822-D0B3-4102-A9BA-CE3A6C456D59}"/>
    <cellStyle name="Normal 4 3 2 2 2 2 2 2 2 4" xfId="20860" xr:uid="{AE1DFF8A-B593-4EAD-BB09-91B39A2B722C}"/>
    <cellStyle name="Normal 4 3 2 2 2 2 2 2 3" xfId="5159" xr:uid="{00000000-0005-0000-0000-000010140000}"/>
    <cellStyle name="Normal 4 3 2 2 2 2 2 2 3 2" xfId="14485" xr:uid="{FCCCEC8F-97BB-4570-A5C0-30956FE45DBB}"/>
    <cellStyle name="Normal 4 3 2 2 2 2 2 2 3 3" xfId="22932" xr:uid="{6410B356-8BE5-4E97-A3F9-609FE30B8A3E}"/>
    <cellStyle name="Normal 4 3 2 2 2 2 2 2 4" xfId="9557" xr:uid="{4F6BDD99-7BF1-4D2F-9EDC-4F75F1942DB4}"/>
    <cellStyle name="Normal 4 3 2 2 2 2 2 2 5" xfId="10268" xr:uid="{56DB46B9-C7EA-42F9-86D0-87ADFEF85156}"/>
    <cellStyle name="Normal 4 3 2 2 2 2 2 2 6" xfId="18715" xr:uid="{526CB1E8-D059-412B-89FC-D93A939E3BB2}"/>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12634655-C2E3-4DC1-A1A1-A07FBB9F8E97}"/>
    <cellStyle name="Normal 4 3 2 2 2 2 2 3 2 2 3" xfId="25490" xr:uid="{2C37BDBB-A2EE-41CF-B45C-869DDD67307A}"/>
    <cellStyle name="Normal 4 3 2 2 2 2 2 3 2 3" xfId="12826" xr:uid="{2EB55D21-5548-4703-85CB-CB5F0B271B60}"/>
    <cellStyle name="Normal 4 3 2 2 2 2 2 3 2 4" xfId="21273" xr:uid="{5AFCE9AD-C230-4E24-8D65-71382BBC10F2}"/>
    <cellStyle name="Normal 4 3 2 2 2 2 2 3 3" xfId="5572" xr:uid="{00000000-0005-0000-0000-000014140000}"/>
    <cellStyle name="Normal 4 3 2 2 2 2 2 3 3 2" xfId="14898" xr:uid="{785EAB9C-4C3D-4089-B9E3-30A036D56F09}"/>
    <cellStyle name="Normal 4 3 2 2 2 2 2 3 3 3" xfId="23345" xr:uid="{7AB93296-DC27-48EF-99B9-62B175EE447A}"/>
    <cellStyle name="Normal 4 3 2 2 2 2 2 3 4" xfId="10681" xr:uid="{5356F1CA-41F7-4337-89FB-1F7D8C59BB61}"/>
    <cellStyle name="Normal 4 3 2 2 2 2 2 3 5" xfId="19128" xr:uid="{DD84C67F-B66E-4348-9F68-8C31A5604E01}"/>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1625486A-9B53-4DCC-B67F-141CEDF3BA65}"/>
    <cellStyle name="Normal 4 3 2 2 2 2 2 4 2 2 3" xfId="25903" xr:uid="{95FB1D3A-B1DD-4455-AA9B-B08700A5CC00}"/>
    <cellStyle name="Normal 4 3 2 2 2 2 2 4 2 3" xfId="13239" xr:uid="{694DD466-321B-4F21-B27F-5D2C3225989A}"/>
    <cellStyle name="Normal 4 3 2 2 2 2 2 4 2 4" xfId="21686" xr:uid="{7CEEB488-8F8D-4709-943C-5CCCA4838E26}"/>
    <cellStyle name="Normal 4 3 2 2 2 2 2 4 3" xfId="5985" xr:uid="{00000000-0005-0000-0000-000018140000}"/>
    <cellStyle name="Normal 4 3 2 2 2 2 2 4 3 2" xfId="15311" xr:uid="{437C918D-64B8-416D-B18E-A93632D0201E}"/>
    <cellStyle name="Normal 4 3 2 2 2 2 2 4 3 3" xfId="23758" xr:uid="{C637DF3E-DB8B-4EAF-B112-43459BD9E796}"/>
    <cellStyle name="Normal 4 3 2 2 2 2 2 4 4" xfId="11094" xr:uid="{41D75C17-BFD9-468E-862C-7104E760A316}"/>
    <cellStyle name="Normal 4 3 2 2 2 2 2 4 5" xfId="19541" xr:uid="{21C602D5-B532-411C-9BA2-0582FC07CDA5}"/>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9ADFD86E-D99E-41FA-A2BD-5BB3109C4E32}"/>
    <cellStyle name="Normal 4 3 2 2 2 2 2 5 2 2 3" xfId="26316" xr:uid="{44A85F59-C8FE-40D0-8408-752D10F787BD}"/>
    <cellStyle name="Normal 4 3 2 2 2 2 2 5 2 3" xfId="13652" xr:uid="{7BC1475F-8ABD-4EFD-BF18-8FF3FE06BD1C}"/>
    <cellStyle name="Normal 4 3 2 2 2 2 2 5 2 4" xfId="22099" xr:uid="{BC513DBF-FBC5-4366-989B-48A74CD2332B}"/>
    <cellStyle name="Normal 4 3 2 2 2 2 2 5 3" xfId="6398" xr:uid="{00000000-0005-0000-0000-00001C140000}"/>
    <cellStyle name="Normal 4 3 2 2 2 2 2 5 3 2" xfId="15724" xr:uid="{1446718E-A354-4656-A088-10D34BF872D0}"/>
    <cellStyle name="Normal 4 3 2 2 2 2 2 5 3 3" xfId="24171" xr:uid="{192ECE2F-8763-46C7-90C8-392021E19F7C}"/>
    <cellStyle name="Normal 4 3 2 2 2 2 2 5 4" xfId="11507" xr:uid="{ABF8CD69-1893-4C43-9C4E-AA0470EAED4A}"/>
    <cellStyle name="Normal 4 3 2 2 2 2 2 5 5" xfId="19954" xr:uid="{F7F26871-6AA6-4914-B009-C83BFF43499F}"/>
    <cellStyle name="Normal 4 3 2 2 2 2 2 6" xfId="2528" xr:uid="{00000000-0005-0000-0000-00001D140000}"/>
    <cellStyle name="Normal 4 3 2 2 2 2 2 6 2" xfId="6811" xr:uid="{00000000-0005-0000-0000-00001E140000}"/>
    <cellStyle name="Normal 4 3 2 2 2 2 2 6 2 2" xfId="16137" xr:uid="{30FFA09D-6CB9-4AC3-BA50-916A5A83C698}"/>
    <cellStyle name="Normal 4 3 2 2 2 2 2 6 2 3" xfId="24584" xr:uid="{71D16068-C239-4027-BD78-3209E150EAC1}"/>
    <cellStyle name="Normal 4 3 2 2 2 2 2 6 3" xfId="11920" xr:uid="{9D0773B0-ECFE-4013-ACA2-95511600E7D4}"/>
    <cellStyle name="Normal 4 3 2 2 2 2 2 6 4" xfId="20367" xr:uid="{DFD9DB03-1D0F-458B-93F2-918F7BE3B0D9}"/>
    <cellStyle name="Normal 4 3 2 2 2 2 2 7" xfId="4746" xr:uid="{00000000-0005-0000-0000-00001F140000}"/>
    <cellStyle name="Normal 4 3 2 2 2 2 2 7 2" xfId="14072" xr:uid="{DBAD6240-A0EA-42FC-8C9E-B9D642EF7C74}"/>
    <cellStyle name="Normal 4 3 2 2 2 2 2 7 3" xfId="22519" xr:uid="{CEC40731-0576-4C1A-A770-8A369EC7B0C8}"/>
    <cellStyle name="Normal 4 3 2 2 2 2 2 8" xfId="9132" xr:uid="{14F6ED12-EABF-4C82-AD59-55D351026913}"/>
    <cellStyle name="Normal 4 3 2 2 2 2 2 9" xfId="9855" xr:uid="{4AB608A7-15F6-4C08-9493-FDE45F7793A8}"/>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1456975D-B108-483C-A076-EC305EA7A5EC}"/>
    <cellStyle name="Normal 4 3 2 2 2 2 3 2 2 3" xfId="25076" xr:uid="{5AAFE956-1C2E-489A-99D1-FE4ED18B76BD}"/>
    <cellStyle name="Normal 4 3 2 2 2 2 3 2 3" xfId="12412" xr:uid="{36204FCD-B087-48DF-BAE8-B1019518230B}"/>
    <cellStyle name="Normal 4 3 2 2 2 2 3 2 4" xfId="20859" xr:uid="{D2675B02-19BA-4615-89B2-2BE8BC76CACD}"/>
    <cellStyle name="Normal 4 3 2 2 2 2 3 3" xfId="5158" xr:uid="{00000000-0005-0000-0000-000023140000}"/>
    <cellStyle name="Normal 4 3 2 2 2 2 3 3 2" xfId="14484" xr:uid="{BA48620D-1ECF-4BAB-81A7-4A8F0B19C2A3}"/>
    <cellStyle name="Normal 4 3 2 2 2 2 3 3 3" xfId="22931" xr:uid="{EB9C3D0F-4BB9-4893-927A-8E6E6B062AE5}"/>
    <cellStyle name="Normal 4 3 2 2 2 2 3 4" xfId="9350" xr:uid="{DFFEAFB7-A284-4FD9-B115-C19DA011CCC7}"/>
    <cellStyle name="Normal 4 3 2 2 2 2 3 5" xfId="10267" xr:uid="{5BED4C46-A791-49B7-8E30-82F9D7389B11}"/>
    <cellStyle name="Normal 4 3 2 2 2 2 3 6" xfId="18714" xr:uid="{CB99E52A-62AF-4C6A-A0BF-D71AD2C348B9}"/>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798FA823-40D3-424B-8655-586345F8B067}"/>
    <cellStyle name="Normal 4 3 2 2 2 2 4 2 2 3" xfId="25489" xr:uid="{EA5EFBFD-1727-4D18-A2DD-C2C015322B65}"/>
    <cellStyle name="Normal 4 3 2 2 2 2 4 2 3" xfId="12825" xr:uid="{D6E746E5-C784-4582-8D2B-433CD4891FFA}"/>
    <cellStyle name="Normal 4 3 2 2 2 2 4 2 4" xfId="21272" xr:uid="{06DE53B6-D9C8-4800-B567-79204C47E1C4}"/>
    <cellStyle name="Normal 4 3 2 2 2 2 4 3" xfId="5571" xr:uid="{00000000-0005-0000-0000-000027140000}"/>
    <cellStyle name="Normal 4 3 2 2 2 2 4 3 2" xfId="14897" xr:uid="{3A47C6AD-BB03-4403-885C-32632789D193}"/>
    <cellStyle name="Normal 4 3 2 2 2 2 4 3 3" xfId="23344" xr:uid="{5F2F7E29-9B06-4B0F-810E-7212D66B56D9}"/>
    <cellStyle name="Normal 4 3 2 2 2 2 4 4" xfId="10680" xr:uid="{AC6FE5CA-07D4-45B9-A6D9-A9E2AB39F51F}"/>
    <cellStyle name="Normal 4 3 2 2 2 2 4 5" xfId="19127" xr:uid="{BA2A6439-9CAD-41C7-ADFF-B973CC8E1A63}"/>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527290F9-B051-47DF-9706-9549EE0DFAF0}"/>
    <cellStyle name="Normal 4 3 2 2 2 2 5 2 2 3" xfId="25902" xr:uid="{837D6A0A-D4FA-49F0-91AB-C0F0F3D15873}"/>
    <cellStyle name="Normal 4 3 2 2 2 2 5 2 3" xfId="13238" xr:uid="{4954040B-9692-4A5B-B1C9-6B1D1B2E68EC}"/>
    <cellStyle name="Normal 4 3 2 2 2 2 5 2 4" xfId="21685" xr:uid="{A0FDEBAF-27B3-4E86-B5F6-0F1CEABBBD0B}"/>
    <cellStyle name="Normal 4 3 2 2 2 2 5 3" xfId="5984" xr:uid="{00000000-0005-0000-0000-00002B140000}"/>
    <cellStyle name="Normal 4 3 2 2 2 2 5 3 2" xfId="15310" xr:uid="{61CC4C78-BAA4-4B13-9F88-5367F4ED1559}"/>
    <cellStyle name="Normal 4 3 2 2 2 2 5 3 3" xfId="23757" xr:uid="{E14E1DB9-32C9-439C-93C1-67B0FBF79D7D}"/>
    <cellStyle name="Normal 4 3 2 2 2 2 5 4" xfId="11093" xr:uid="{A329C4AF-FCA0-4EF5-9846-EE3E41B996C5}"/>
    <cellStyle name="Normal 4 3 2 2 2 2 5 5" xfId="19540" xr:uid="{D611F2D5-8557-44FA-A15E-40C3F0F0752F}"/>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31165971-BC63-4588-87F6-1DCF0E95EFC9}"/>
    <cellStyle name="Normal 4 3 2 2 2 2 6 2 2 3" xfId="26315" xr:uid="{493F641D-6A72-4A92-BBF7-A24C4B2C6612}"/>
    <cellStyle name="Normal 4 3 2 2 2 2 6 2 3" xfId="13651" xr:uid="{EEE94A4D-485B-4F7E-883C-A8D256269C9D}"/>
    <cellStyle name="Normal 4 3 2 2 2 2 6 2 4" xfId="22098" xr:uid="{E1E6BCA5-9C1F-4A31-B0A9-343C747E13AB}"/>
    <cellStyle name="Normal 4 3 2 2 2 2 6 3" xfId="6397" xr:uid="{00000000-0005-0000-0000-00002F140000}"/>
    <cellStyle name="Normal 4 3 2 2 2 2 6 3 2" xfId="15723" xr:uid="{1DB948F7-AD7B-4D85-849F-433B1AFCD451}"/>
    <cellStyle name="Normal 4 3 2 2 2 2 6 3 3" xfId="24170" xr:uid="{A2263CDF-2775-4BD3-9FA7-35C25E21269E}"/>
    <cellStyle name="Normal 4 3 2 2 2 2 6 4" xfId="11506" xr:uid="{3DAFEF0C-7C5D-48F3-9CF6-BCA1F7E880A8}"/>
    <cellStyle name="Normal 4 3 2 2 2 2 6 5" xfId="19953" xr:uid="{2A5043EA-9CC0-41DE-B5D8-AD1E55B4D6A6}"/>
    <cellStyle name="Normal 4 3 2 2 2 2 7" xfId="2527" xr:uid="{00000000-0005-0000-0000-000030140000}"/>
    <cellStyle name="Normal 4 3 2 2 2 2 7 2" xfId="6810" xr:uid="{00000000-0005-0000-0000-000031140000}"/>
    <cellStyle name="Normal 4 3 2 2 2 2 7 2 2" xfId="16136" xr:uid="{59742919-B49C-46F3-B38F-E075568B5164}"/>
    <cellStyle name="Normal 4 3 2 2 2 2 7 2 3" xfId="24583" xr:uid="{9B0A4F9C-7486-4FDD-B4AF-F3D2F3C1BAFF}"/>
    <cellStyle name="Normal 4 3 2 2 2 2 7 3" xfId="11919" xr:uid="{74873DC6-6667-41F1-AB1B-507CAE8EED31}"/>
    <cellStyle name="Normal 4 3 2 2 2 2 7 4" xfId="20366" xr:uid="{718FFDA5-2CDA-4720-B596-960FF317737D}"/>
    <cellStyle name="Normal 4 3 2 2 2 2 8" xfId="4745" xr:uid="{00000000-0005-0000-0000-000032140000}"/>
    <cellStyle name="Normal 4 3 2 2 2 2 8 2" xfId="14071" xr:uid="{A998FFB9-9A3A-4B4C-90A4-F4144C4B0432}"/>
    <cellStyle name="Normal 4 3 2 2 2 2 8 3" xfId="22518" xr:uid="{9AABE115-DD5F-46F2-944C-B97B58FF0C51}"/>
    <cellStyle name="Normal 4 3 2 2 2 2 9" xfId="8925" xr:uid="{71BB8AFA-37D7-474D-A12B-C284DDE23CE9}"/>
    <cellStyle name="Normal 4 3 2 2 2 3" xfId="372" xr:uid="{00000000-0005-0000-0000-000033140000}"/>
    <cellStyle name="Normal 4 3 2 2 2 3 10" xfId="18303" xr:uid="{F12DE598-C483-46FF-A071-9B775E1F35CC}"/>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974A9319-17F2-4372-A64C-687099AE9909}"/>
    <cellStyle name="Normal 4 3 2 2 2 3 2 2 2 3" xfId="25078" xr:uid="{06AD5839-CC92-4FAF-876E-8E97AD0E353D}"/>
    <cellStyle name="Normal 4 3 2 2 2 3 2 2 3" xfId="12414" xr:uid="{29550079-9F60-4C59-98E2-3D373FACF6DD}"/>
    <cellStyle name="Normal 4 3 2 2 2 3 2 2 4" xfId="20861" xr:uid="{B081A151-E223-4C5B-A233-659A500F4ADA}"/>
    <cellStyle name="Normal 4 3 2 2 2 3 2 3" xfId="5160" xr:uid="{00000000-0005-0000-0000-000037140000}"/>
    <cellStyle name="Normal 4 3 2 2 2 3 2 3 2" xfId="14486" xr:uid="{9D28C538-8407-45A7-A730-6B751F010C0F}"/>
    <cellStyle name="Normal 4 3 2 2 2 3 2 3 3" xfId="22933" xr:uid="{7DE45067-EB79-4DA6-8009-B970382A040D}"/>
    <cellStyle name="Normal 4 3 2 2 2 3 2 4" xfId="9454" xr:uid="{B81F5EAA-7D8E-43B5-94D7-313E66088BA5}"/>
    <cellStyle name="Normal 4 3 2 2 2 3 2 5" xfId="10269" xr:uid="{7FE24180-D723-4188-953A-D6498FDAC87C}"/>
    <cellStyle name="Normal 4 3 2 2 2 3 2 6" xfId="18716" xr:uid="{C25D863B-1773-4107-A290-5027BBAC1EA8}"/>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A8D2479F-20A8-4832-A13E-CFF9EDB5E033}"/>
    <cellStyle name="Normal 4 3 2 2 2 3 3 2 2 3" xfId="25491" xr:uid="{B3E4779A-9D94-4CE0-9051-A9BAFE24C891}"/>
    <cellStyle name="Normal 4 3 2 2 2 3 3 2 3" xfId="12827" xr:uid="{0394ED30-8927-40C6-A6EF-C1D77AC0E70C}"/>
    <cellStyle name="Normal 4 3 2 2 2 3 3 2 4" xfId="21274" xr:uid="{F45A0348-B463-47B9-92B7-7A5720049D45}"/>
    <cellStyle name="Normal 4 3 2 2 2 3 3 3" xfId="5573" xr:uid="{00000000-0005-0000-0000-00003B140000}"/>
    <cellStyle name="Normal 4 3 2 2 2 3 3 3 2" xfId="14899" xr:uid="{53BEB40E-1917-4DBF-BF91-B0A2DD31FD8B}"/>
    <cellStyle name="Normal 4 3 2 2 2 3 3 3 3" xfId="23346" xr:uid="{1013BBCC-B020-4F7B-9142-53F088224B04}"/>
    <cellStyle name="Normal 4 3 2 2 2 3 3 4" xfId="10682" xr:uid="{1A60A5E2-158B-4EE0-8061-B5CE6A7DC285}"/>
    <cellStyle name="Normal 4 3 2 2 2 3 3 5" xfId="19129" xr:uid="{36B82A48-0268-40EE-A2E5-5F6898708C5C}"/>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0F3C81DA-D8DC-4A15-BBFD-94B53058E940}"/>
    <cellStyle name="Normal 4 3 2 2 2 3 4 2 2 3" xfId="25904" xr:uid="{1166A07A-DD72-4669-AC1E-0E6E82A5362F}"/>
    <cellStyle name="Normal 4 3 2 2 2 3 4 2 3" xfId="13240" xr:uid="{48B67C7A-915F-4EFF-8E9D-0A177BE61C9D}"/>
    <cellStyle name="Normal 4 3 2 2 2 3 4 2 4" xfId="21687" xr:uid="{C06992DB-A0AC-4273-83E2-73FB33CF0685}"/>
    <cellStyle name="Normal 4 3 2 2 2 3 4 3" xfId="5986" xr:uid="{00000000-0005-0000-0000-00003F140000}"/>
    <cellStyle name="Normal 4 3 2 2 2 3 4 3 2" xfId="15312" xr:uid="{9E20BBFF-1818-402C-B79E-3615EA8C8EC9}"/>
    <cellStyle name="Normal 4 3 2 2 2 3 4 3 3" xfId="23759" xr:uid="{C4ABF251-89BF-4CEE-8057-ECD6580C7149}"/>
    <cellStyle name="Normal 4 3 2 2 2 3 4 4" xfId="11095" xr:uid="{ADFF92D1-E64A-4926-AF5D-ABE5CC433345}"/>
    <cellStyle name="Normal 4 3 2 2 2 3 4 5" xfId="19542" xr:uid="{1DEEE2F0-D5E3-40F7-AEBD-AC8CA8CED16F}"/>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A2F73671-F29D-44E4-8ED4-22B29D6DF0D2}"/>
    <cellStyle name="Normal 4 3 2 2 2 3 5 2 2 3" xfId="26317" xr:uid="{A2737C8C-184E-4269-9DF9-60B49C7D221B}"/>
    <cellStyle name="Normal 4 3 2 2 2 3 5 2 3" xfId="13653" xr:uid="{4FBEC2BF-AEBF-43BA-959D-26D791BBA944}"/>
    <cellStyle name="Normal 4 3 2 2 2 3 5 2 4" xfId="22100" xr:uid="{58B73959-8000-4DDC-82B8-CD8E215A3558}"/>
    <cellStyle name="Normal 4 3 2 2 2 3 5 3" xfId="6399" xr:uid="{00000000-0005-0000-0000-000043140000}"/>
    <cellStyle name="Normal 4 3 2 2 2 3 5 3 2" xfId="15725" xr:uid="{34DC5027-8090-4D53-B4F4-215DEC189609}"/>
    <cellStyle name="Normal 4 3 2 2 2 3 5 3 3" xfId="24172" xr:uid="{B693F733-7B9B-4E3E-B76A-3F1B36578580}"/>
    <cellStyle name="Normal 4 3 2 2 2 3 5 4" xfId="11508" xr:uid="{707DDC6F-49F1-435C-B871-839AFABFF707}"/>
    <cellStyle name="Normal 4 3 2 2 2 3 5 5" xfId="19955" xr:uid="{F082C708-705C-450A-B2B1-4AA65F276DC1}"/>
    <cellStyle name="Normal 4 3 2 2 2 3 6" xfId="2529" xr:uid="{00000000-0005-0000-0000-000044140000}"/>
    <cellStyle name="Normal 4 3 2 2 2 3 6 2" xfId="6812" xr:uid="{00000000-0005-0000-0000-000045140000}"/>
    <cellStyle name="Normal 4 3 2 2 2 3 6 2 2" xfId="16138" xr:uid="{F01A1385-0874-4121-BDD5-49F8C36DE482}"/>
    <cellStyle name="Normal 4 3 2 2 2 3 6 2 3" xfId="24585" xr:uid="{724D8800-1B64-40A3-8518-EBEE3B36F516}"/>
    <cellStyle name="Normal 4 3 2 2 2 3 6 3" xfId="11921" xr:uid="{71BE6FB3-44FC-41B5-8A20-98D525E4575B}"/>
    <cellStyle name="Normal 4 3 2 2 2 3 6 4" xfId="20368" xr:uid="{238C8CEC-81FC-4BD6-A6A1-31B6BF9ECF1C}"/>
    <cellStyle name="Normal 4 3 2 2 2 3 7" xfId="4747" xr:uid="{00000000-0005-0000-0000-000046140000}"/>
    <cellStyle name="Normal 4 3 2 2 2 3 7 2" xfId="14073" xr:uid="{5C82D2DF-4AD4-465D-8B78-9965D09DA2E2}"/>
    <cellStyle name="Normal 4 3 2 2 2 3 7 3" xfId="22520" xr:uid="{1E66F72F-CB35-4F6F-9970-0EA2F8F07C92}"/>
    <cellStyle name="Normal 4 3 2 2 2 3 8" xfId="9029" xr:uid="{CC421D7E-69EF-4D96-A95C-E67F046F8D14}"/>
    <cellStyle name="Normal 4 3 2 2 2 3 9" xfId="9856" xr:uid="{FD93CD34-5D2D-4047-87CC-E963AE7D20E7}"/>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459BBA98-A77F-471C-B21B-8E4AD132F92E}"/>
    <cellStyle name="Normal 4 3 2 2 2 4 2 2 3" xfId="25075" xr:uid="{23BB88F9-B5B1-4DCD-B653-21CDACE7FC51}"/>
    <cellStyle name="Normal 4 3 2 2 2 4 2 3" xfId="12411" xr:uid="{A5BA1CEA-9AA9-4BED-BE03-848F8568003F}"/>
    <cellStyle name="Normal 4 3 2 2 2 4 2 4" xfId="20858" xr:uid="{5829F3B5-D1FD-4AF5-83C7-F1D332D88281}"/>
    <cellStyle name="Normal 4 3 2 2 2 4 3" xfId="5157" xr:uid="{00000000-0005-0000-0000-00004A140000}"/>
    <cellStyle name="Normal 4 3 2 2 2 4 3 2" xfId="14483" xr:uid="{0BA3188E-568C-4C76-9AD4-9A441253420B}"/>
    <cellStyle name="Normal 4 3 2 2 2 4 3 3" xfId="22930" xr:uid="{38CDA555-21A5-4B64-BF5B-B90F040E4AB7}"/>
    <cellStyle name="Normal 4 3 2 2 2 4 4" xfId="9247" xr:uid="{70D9D224-DB0B-42B4-B4A9-BC88F455C395}"/>
    <cellStyle name="Normal 4 3 2 2 2 4 5" xfId="10266" xr:uid="{F4346D67-3DA0-442D-84D3-E19B56B879FA}"/>
    <cellStyle name="Normal 4 3 2 2 2 4 6" xfId="18713" xr:uid="{4431E167-576D-451A-9F36-7F113E195708}"/>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5E6F23EF-5951-4E29-BCC7-E202280DBEE0}"/>
    <cellStyle name="Normal 4 3 2 2 2 5 2 2 3" xfId="25488" xr:uid="{3F9F1E94-BC9D-4321-B2D3-192AFE061527}"/>
    <cellStyle name="Normal 4 3 2 2 2 5 2 3" xfId="12824" xr:uid="{D5CE98F3-BB99-4591-9CE8-66F1FCF58510}"/>
    <cellStyle name="Normal 4 3 2 2 2 5 2 4" xfId="21271" xr:uid="{25FFB532-AD49-4041-890C-562EEF7FD7B3}"/>
    <cellStyle name="Normal 4 3 2 2 2 5 3" xfId="5570" xr:uid="{00000000-0005-0000-0000-00004E140000}"/>
    <cellStyle name="Normal 4 3 2 2 2 5 3 2" xfId="14896" xr:uid="{3A91ECCA-F486-4C5E-9BAA-1F96BE7BAE07}"/>
    <cellStyle name="Normal 4 3 2 2 2 5 3 3" xfId="23343" xr:uid="{9ABFD857-718E-4282-BACF-BC4B238FD27B}"/>
    <cellStyle name="Normal 4 3 2 2 2 5 4" xfId="10679" xr:uid="{499F28E2-7A93-4281-A3D4-424CF69CC289}"/>
    <cellStyle name="Normal 4 3 2 2 2 5 5" xfId="19126" xr:uid="{DAE62FE5-6748-48A6-8023-6CF1B5D8874A}"/>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9FFF4236-155E-46F1-8904-6A699845E5A7}"/>
    <cellStyle name="Normal 4 3 2 2 2 6 2 2 3" xfId="25901" xr:uid="{41D6FD46-D36D-4D80-BDF5-DADA7C59BDFF}"/>
    <cellStyle name="Normal 4 3 2 2 2 6 2 3" xfId="13237" xr:uid="{D183D54A-7505-4AA0-8424-F1FFFE71CF57}"/>
    <cellStyle name="Normal 4 3 2 2 2 6 2 4" xfId="21684" xr:uid="{5507375E-4119-40BB-A405-9647B0ECE2BB}"/>
    <cellStyle name="Normal 4 3 2 2 2 6 3" xfId="5983" xr:uid="{00000000-0005-0000-0000-000052140000}"/>
    <cellStyle name="Normal 4 3 2 2 2 6 3 2" xfId="15309" xr:uid="{982E87C5-16DB-4FDA-93A3-41536E3313F7}"/>
    <cellStyle name="Normal 4 3 2 2 2 6 3 3" xfId="23756" xr:uid="{4A9CFCE0-64F4-4C9C-9B78-A13276C67429}"/>
    <cellStyle name="Normal 4 3 2 2 2 6 4" xfId="11092" xr:uid="{C56A947E-4D1D-402A-910A-BE3238508BC4}"/>
    <cellStyle name="Normal 4 3 2 2 2 6 5" xfId="19539" xr:uid="{300AB59B-7B1A-416C-A1E0-D3E287E2C36C}"/>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B4985D46-EDA0-422A-B948-07A8AFE772D7}"/>
    <cellStyle name="Normal 4 3 2 2 2 7 2 2 3" xfId="26314" xr:uid="{105B9723-9A89-4FF2-A635-7DC5899E9F07}"/>
    <cellStyle name="Normal 4 3 2 2 2 7 2 3" xfId="13650" xr:uid="{E6DF84DA-EE63-4DD3-8677-2F214076F356}"/>
    <cellStyle name="Normal 4 3 2 2 2 7 2 4" xfId="22097" xr:uid="{DA4B4740-B9C7-4FB8-B438-E8F3692EBFAD}"/>
    <cellStyle name="Normal 4 3 2 2 2 7 3" xfId="6396" xr:uid="{00000000-0005-0000-0000-000056140000}"/>
    <cellStyle name="Normal 4 3 2 2 2 7 3 2" xfId="15722" xr:uid="{72B60F82-286B-4DA9-9E64-26FF6FF52E89}"/>
    <cellStyle name="Normal 4 3 2 2 2 7 3 3" xfId="24169" xr:uid="{3D87EAB4-99DD-418B-9CBF-A7400B0B9CA7}"/>
    <cellStyle name="Normal 4 3 2 2 2 7 4" xfId="11505" xr:uid="{D79C9150-FCAE-4590-9E93-4D3DACB20F4B}"/>
    <cellStyle name="Normal 4 3 2 2 2 7 5" xfId="19952" xr:uid="{D304BED0-19E7-4CB2-8DAD-D0E08B174A77}"/>
    <cellStyle name="Normal 4 3 2 2 2 8" xfId="2526" xr:uid="{00000000-0005-0000-0000-000057140000}"/>
    <cellStyle name="Normal 4 3 2 2 2 8 2" xfId="6809" xr:uid="{00000000-0005-0000-0000-000058140000}"/>
    <cellStyle name="Normal 4 3 2 2 2 8 2 2" xfId="16135" xr:uid="{2951D0B2-6577-435C-A087-2BAFEA1EE9F7}"/>
    <cellStyle name="Normal 4 3 2 2 2 8 2 3" xfId="24582" xr:uid="{6B91187C-CF71-4D84-9D89-4F5EDA105A26}"/>
    <cellStyle name="Normal 4 3 2 2 2 8 3" xfId="11918" xr:uid="{EA26DF47-C340-45D7-9069-463086A521CA}"/>
    <cellStyle name="Normal 4 3 2 2 2 8 4" xfId="20365" xr:uid="{C6A0FD7B-DCBE-47D7-81B5-7FF0C86C7F89}"/>
    <cellStyle name="Normal 4 3 2 2 2 9" xfId="4744" xr:uid="{00000000-0005-0000-0000-000059140000}"/>
    <cellStyle name="Normal 4 3 2 2 2 9 2" xfId="14070" xr:uid="{7C162841-5029-4EDA-83BD-50B52D0FE5AB}"/>
    <cellStyle name="Normal 4 3 2 2 2 9 3" xfId="22517" xr:uid="{73A806EA-853D-487D-B855-6FB0CDE29C3E}"/>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1" xfId="9857" xr:uid="{FAEE4F76-FA0A-4EF4-8D22-1F15F1068C55}"/>
    <cellStyle name="Normal 4 3 3 12" xfId="18304" xr:uid="{0A9A7825-12E3-4290-B671-F633C80BFE54}"/>
    <cellStyle name="Normal 4 3 3 2" xfId="375" xr:uid="{00000000-0005-0000-0000-00005E140000}"/>
    <cellStyle name="Normal 4 3 3 2 10" xfId="9858" xr:uid="{75423EA6-36E0-4E37-9B5A-D60C31246397}"/>
    <cellStyle name="Normal 4 3 3 2 11" xfId="18305" xr:uid="{1B56B107-A229-41AA-98BF-9FFD0AF9D334}"/>
    <cellStyle name="Normal 4 3 3 2 2" xfId="376" xr:uid="{00000000-0005-0000-0000-00005F140000}"/>
    <cellStyle name="Normal 4 3 3 2 2 10" xfId="18306" xr:uid="{2C8DD76D-FC97-4709-97AB-6A7C7900B84A}"/>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A1034571-8A26-498F-AFD1-0BFF139BC796}"/>
    <cellStyle name="Normal 4 3 3 2 2 2 2 2 3" xfId="25081" xr:uid="{D025762E-94E9-4B9B-BC64-65354A1885E9}"/>
    <cellStyle name="Normal 4 3 3 2 2 2 2 3" xfId="12417" xr:uid="{39B9A0A5-6130-4A32-942D-3786AECCA9AF}"/>
    <cellStyle name="Normal 4 3 3 2 2 2 2 4" xfId="20864" xr:uid="{0B7EFB4E-F06D-4DD6-A688-2DF38156DE77}"/>
    <cellStyle name="Normal 4 3 3 2 2 2 3" xfId="5163" xr:uid="{00000000-0005-0000-0000-000063140000}"/>
    <cellStyle name="Normal 4 3 3 2 2 2 3 2" xfId="14489" xr:uid="{4F0E4E7D-01F3-4F9E-9895-068F5216FC5E}"/>
    <cellStyle name="Normal 4 3 3 2 2 2 3 3" xfId="22936" xr:uid="{AC5D9116-E34B-4CF4-887E-C458F251FD44}"/>
    <cellStyle name="Normal 4 3 3 2 2 2 4" xfId="9556" xr:uid="{7233D5E9-9F1E-43FF-8391-DCCFDF8A705D}"/>
    <cellStyle name="Normal 4 3 3 2 2 2 5" xfId="10272" xr:uid="{B2D053B2-54E8-4193-B084-0B32449E3082}"/>
    <cellStyle name="Normal 4 3 3 2 2 2 6" xfId="18719" xr:uid="{5F3DC16E-57E1-4C9B-9507-388F7C617E02}"/>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F34550C9-2050-49B1-A0DD-A7633A661E5D}"/>
    <cellStyle name="Normal 4 3 3 2 2 3 2 2 3" xfId="25494" xr:uid="{DA601932-6D86-4385-957F-5D80CC10991E}"/>
    <cellStyle name="Normal 4 3 3 2 2 3 2 3" xfId="12830" xr:uid="{B8BE0378-4D21-4BE1-B0EC-DB71F7FFD3C7}"/>
    <cellStyle name="Normal 4 3 3 2 2 3 2 4" xfId="21277" xr:uid="{5804F3E5-BF8E-45D1-AB4C-0E3B8B66D8E4}"/>
    <cellStyle name="Normal 4 3 3 2 2 3 3" xfId="5576" xr:uid="{00000000-0005-0000-0000-000067140000}"/>
    <cellStyle name="Normal 4 3 3 2 2 3 3 2" xfId="14902" xr:uid="{59605A46-132A-4F5B-836E-7A682C955961}"/>
    <cellStyle name="Normal 4 3 3 2 2 3 3 3" xfId="23349" xr:uid="{FD7EE8B1-1433-4AC2-8781-4E9B1B99D572}"/>
    <cellStyle name="Normal 4 3 3 2 2 3 4" xfId="10685" xr:uid="{8F3C5CA7-BFA0-4D66-B0D3-71C5B6096B8E}"/>
    <cellStyle name="Normal 4 3 3 2 2 3 5" xfId="19132" xr:uid="{3A58542D-7CDE-4A19-AF2C-BFD40B1009C4}"/>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0CC5FF8A-1DE7-4AC3-881D-B0879DE58EAE}"/>
    <cellStyle name="Normal 4 3 3 2 2 4 2 2 3" xfId="25907" xr:uid="{EB6F262E-3609-4D37-89DC-0F71C62C1FFF}"/>
    <cellStyle name="Normal 4 3 3 2 2 4 2 3" xfId="13243" xr:uid="{94547B0C-C233-4B7A-B7D0-9BF6E93CBCB4}"/>
    <cellStyle name="Normal 4 3 3 2 2 4 2 4" xfId="21690" xr:uid="{CA67EF82-9DD0-4F2F-829A-A3ED231B38C3}"/>
    <cellStyle name="Normal 4 3 3 2 2 4 3" xfId="5989" xr:uid="{00000000-0005-0000-0000-00006B140000}"/>
    <cellStyle name="Normal 4 3 3 2 2 4 3 2" xfId="15315" xr:uid="{8F4B03E5-8AB5-4CB4-ABAB-C9FE10EB9530}"/>
    <cellStyle name="Normal 4 3 3 2 2 4 3 3" xfId="23762" xr:uid="{AC04DC5B-4EAB-4CB5-80CE-A0AA327C785C}"/>
    <cellStyle name="Normal 4 3 3 2 2 4 4" xfId="11098" xr:uid="{9780480E-C052-4949-8F40-884E04ADA712}"/>
    <cellStyle name="Normal 4 3 3 2 2 4 5" xfId="19545" xr:uid="{42E200D2-9BFE-491D-984E-C1A471B0C791}"/>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78268324-E082-4045-A992-E78B5038F74C}"/>
    <cellStyle name="Normal 4 3 3 2 2 5 2 2 3" xfId="26320" xr:uid="{ECC32CC8-211A-4584-982F-21F2667A55CE}"/>
    <cellStyle name="Normal 4 3 3 2 2 5 2 3" xfId="13656" xr:uid="{5CDB40CF-FD0D-40D9-A5CA-634F5D80F20E}"/>
    <cellStyle name="Normal 4 3 3 2 2 5 2 4" xfId="22103" xr:uid="{6D3A5655-D745-420C-AD86-F5BA993B28AB}"/>
    <cellStyle name="Normal 4 3 3 2 2 5 3" xfId="6402" xr:uid="{00000000-0005-0000-0000-00006F140000}"/>
    <cellStyle name="Normal 4 3 3 2 2 5 3 2" xfId="15728" xr:uid="{BB801CE8-9876-4962-B27A-2CF97BCEA674}"/>
    <cellStyle name="Normal 4 3 3 2 2 5 3 3" xfId="24175" xr:uid="{2A64CAE1-F67F-4803-ACFF-1CAB5FF36FFE}"/>
    <cellStyle name="Normal 4 3 3 2 2 5 4" xfId="11511" xr:uid="{8916E6E6-84F7-444D-95B3-8D6ACDB5BF86}"/>
    <cellStyle name="Normal 4 3 3 2 2 5 5" xfId="19958" xr:uid="{F79D60F0-8D41-4480-BE09-BF3F6AED0D6A}"/>
    <cellStyle name="Normal 4 3 3 2 2 6" xfId="2532" xr:uid="{00000000-0005-0000-0000-000070140000}"/>
    <cellStyle name="Normal 4 3 3 2 2 6 2" xfId="6815" xr:uid="{00000000-0005-0000-0000-000071140000}"/>
    <cellStyle name="Normal 4 3 3 2 2 6 2 2" xfId="16141" xr:uid="{253D8F9E-82F0-4288-B621-4BD8A79F1765}"/>
    <cellStyle name="Normal 4 3 3 2 2 6 2 3" xfId="24588" xr:uid="{37D81D45-25BD-4610-B644-24C22541C4E3}"/>
    <cellStyle name="Normal 4 3 3 2 2 6 3" xfId="11924" xr:uid="{FE07BA39-6DD4-47D5-BB1E-6F96671A2D48}"/>
    <cellStyle name="Normal 4 3 3 2 2 6 4" xfId="20371" xr:uid="{59C8A3C7-FAAD-42EE-BCD4-053D7832FC5A}"/>
    <cellStyle name="Normal 4 3 3 2 2 7" xfId="4750" xr:uid="{00000000-0005-0000-0000-000072140000}"/>
    <cellStyle name="Normal 4 3 3 2 2 7 2" xfId="14076" xr:uid="{FB2715CF-11AA-441D-9704-AD08627C3088}"/>
    <cellStyle name="Normal 4 3 3 2 2 7 3" xfId="22523" xr:uid="{46B7E513-3F89-4B19-B394-E07EA4FB2CFE}"/>
    <cellStyle name="Normal 4 3 3 2 2 8" xfId="9131" xr:uid="{D7BA3B10-6765-4B57-99D1-3AF7343772F8}"/>
    <cellStyle name="Normal 4 3 3 2 2 9" xfId="9859" xr:uid="{0DC2184A-C7FF-4972-ADD8-25A3759F0D1F}"/>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280CBE50-C208-4678-A116-83BB6D0D7DC6}"/>
    <cellStyle name="Normal 4 3 3 2 3 2 2 3" xfId="25080" xr:uid="{0F1F7B81-B293-46C6-97EB-F5A7191D997B}"/>
    <cellStyle name="Normal 4 3 3 2 3 2 3" xfId="12416" xr:uid="{53AFE2FD-DF30-4E31-AFA2-F806CFE6536E}"/>
    <cellStyle name="Normal 4 3 3 2 3 2 4" xfId="20863" xr:uid="{6F55CE65-0FD1-44F4-907A-7984230B6F89}"/>
    <cellStyle name="Normal 4 3 3 2 3 3" xfId="5162" xr:uid="{00000000-0005-0000-0000-000076140000}"/>
    <cellStyle name="Normal 4 3 3 2 3 3 2" xfId="14488" xr:uid="{A0DD50CC-6F6B-41F7-9F5A-076BE0A3F066}"/>
    <cellStyle name="Normal 4 3 3 2 3 3 3" xfId="22935" xr:uid="{1E14D406-073C-4480-8FBC-D18D245D6AD9}"/>
    <cellStyle name="Normal 4 3 3 2 3 4" xfId="9349" xr:uid="{E498700C-D7AE-42FC-8EB1-59BA2C1BA6B9}"/>
    <cellStyle name="Normal 4 3 3 2 3 5" xfId="10271" xr:uid="{1C8D65AE-B651-48A9-B88D-E75967F725AB}"/>
    <cellStyle name="Normal 4 3 3 2 3 6" xfId="18718" xr:uid="{F537F392-D177-487C-A416-59FAE6EBE05C}"/>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BEAB537F-638E-419D-8C0B-D26FCB26B269}"/>
    <cellStyle name="Normal 4 3 3 2 4 2 2 3" xfId="25493" xr:uid="{C75D66FA-964E-441D-B624-F0817A4B200A}"/>
    <cellStyle name="Normal 4 3 3 2 4 2 3" xfId="12829" xr:uid="{54F4BD52-067D-4BC4-83C8-EDD84ADCBFDD}"/>
    <cellStyle name="Normal 4 3 3 2 4 2 4" xfId="21276" xr:uid="{F2BC65E9-AD6E-4B45-B7EC-FCA1C75581A9}"/>
    <cellStyle name="Normal 4 3 3 2 4 3" xfId="5575" xr:uid="{00000000-0005-0000-0000-00007A140000}"/>
    <cellStyle name="Normal 4 3 3 2 4 3 2" xfId="14901" xr:uid="{7CBD5855-985B-4F22-A683-59EDC0D59BB7}"/>
    <cellStyle name="Normal 4 3 3 2 4 3 3" xfId="23348" xr:uid="{A77C9593-82A2-42AB-A406-D4CC775689A7}"/>
    <cellStyle name="Normal 4 3 3 2 4 4" xfId="10684" xr:uid="{50004808-E710-40C6-BEFF-274070C8FF42}"/>
    <cellStyle name="Normal 4 3 3 2 4 5" xfId="19131" xr:uid="{6B48472C-41A1-48F4-B08E-00FF0869FEBE}"/>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44F501C0-6A20-44AD-9005-459102FF3B6F}"/>
    <cellStyle name="Normal 4 3 3 2 5 2 2 3" xfId="25906" xr:uid="{57123B83-0A14-48CD-9CDF-F7CCF72853E1}"/>
    <cellStyle name="Normal 4 3 3 2 5 2 3" xfId="13242" xr:uid="{AE7DD602-372A-4F54-BCF9-4510F9EF1C79}"/>
    <cellStyle name="Normal 4 3 3 2 5 2 4" xfId="21689" xr:uid="{D3C52F93-4DBE-46FF-A746-254D5E63984F}"/>
    <cellStyle name="Normal 4 3 3 2 5 3" xfId="5988" xr:uid="{00000000-0005-0000-0000-00007E140000}"/>
    <cellStyle name="Normal 4 3 3 2 5 3 2" xfId="15314" xr:uid="{28F6C034-11EC-4D74-B4AA-CC2E1E093489}"/>
    <cellStyle name="Normal 4 3 3 2 5 3 3" xfId="23761" xr:uid="{0BCE78DD-1EFB-4983-9B99-E827EAF31ABA}"/>
    <cellStyle name="Normal 4 3 3 2 5 4" xfId="11097" xr:uid="{0AF6022B-E008-43B1-A39D-98ACE54CAF55}"/>
    <cellStyle name="Normal 4 3 3 2 5 5" xfId="19544" xr:uid="{09EF4F18-5EAA-411C-AF3B-0028904D20E3}"/>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E57D051B-1419-48C4-852F-EF08B889B980}"/>
    <cellStyle name="Normal 4 3 3 2 6 2 2 3" xfId="26319" xr:uid="{A2340E2D-CAC0-4390-91A6-2A56ED28D463}"/>
    <cellStyle name="Normal 4 3 3 2 6 2 3" xfId="13655" xr:uid="{F43CD677-3FC8-4E78-BA9D-88842DF1187E}"/>
    <cellStyle name="Normal 4 3 3 2 6 2 4" xfId="22102" xr:uid="{3F3AA77E-496B-4A10-934C-87BB7600D181}"/>
    <cellStyle name="Normal 4 3 3 2 6 3" xfId="6401" xr:uid="{00000000-0005-0000-0000-000082140000}"/>
    <cellStyle name="Normal 4 3 3 2 6 3 2" xfId="15727" xr:uid="{D03292B3-AA51-4557-8F53-BA3B40F0F1A5}"/>
    <cellStyle name="Normal 4 3 3 2 6 3 3" xfId="24174" xr:uid="{B21CFC88-E4A3-4B7E-BD63-659B9653C961}"/>
    <cellStyle name="Normal 4 3 3 2 6 4" xfId="11510" xr:uid="{6C5AFED7-883C-40E9-B4EA-26424ADA877C}"/>
    <cellStyle name="Normal 4 3 3 2 6 5" xfId="19957" xr:uid="{0D99C20C-40DB-486A-B615-9657D48445AB}"/>
    <cellStyle name="Normal 4 3 3 2 7" xfId="2531" xr:uid="{00000000-0005-0000-0000-000083140000}"/>
    <cellStyle name="Normal 4 3 3 2 7 2" xfId="6814" xr:uid="{00000000-0005-0000-0000-000084140000}"/>
    <cellStyle name="Normal 4 3 3 2 7 2 2" xfId="16140" xr:uid="{54E6144A-EA12-4B88-AA83-8C4993000943}"/>
    <cellStyle name="Normal 4 3 3 2 7 2 3" xfId="24587" xr:uid="{7FD57B90-3822-4AA7-8941-56256A5055E5}"/>
    <cellStyle name="Normal 4 3 3 2 7 3" xfId="11923" xr:uid="{69FF6E0A-AF4A-4AD3-ABB3-966B7777CB39}"/>
    <cellStyle name="Normal 4 3 3 2 7 4" xfId="20370" xr:uid="{4F189475-F0D7-40A1-A520-69D433F934E7}"/>
    <cellStyle name="Normal 4 3 3 2 8" xfId="4749" xr:uid="{00000000-0005-0000-0000-000085140000}"/>
    <cellStyle name="Normal 4 3 3 2 8 2" xfId="14075" xr:uid="{940C072D-164B-4F2E-8B3C-9B57ABC554DE}"/>
    <cellStyle name="Normal 4 3 3 2 8 3" xfId="22522" xr:uid="{8E2FCD60-BFF3-4310-A11E-3C73F6892B2B}"/>
    <cellStyle name="Normal 4 3 3 2 9" xfId="8924" xr:uid="{F9E914C5-63E8-4CB8-8EA1-7427CE35C4AA}"/>
    <cellStyle name="Normal 4 3 3 3" xfId="377" xr:uid="{00000000-0005-0000-0000-000086140000}"/>
    <cellStyle name="Normal 4 3 3 3 10" xfId="18307" xr:uid="{A6B5BEED-EF70-43B9-86F4-0F533B3CA503}"/>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7CE6CACF-5868-4C50-8BDF-C72FE50E3899}"/>
    <cellStyle name="Normal 4 3 3 3 2 2 2 3" xfId="25082" xr:uid="{2ADEEB7F-4160-4CA5-B008-BD38F41E856D}"/>
    <cellStyle name="Normal 4 3 3 3 2 2 3" xfId="12418" xr:uid="{5C1573AC-ABF1-4E8A-9937-0B93B3F8F8A9}"/>
    <cellStyle name="Normal 4 3 3 3 2 2 4" xfId="20865" xr:uid="{A9CA9477-3108-4BDF-9A00-6D859E26EB5B}"/>
    <cellStyle name="Normal 4 3 3 3 2 3" xfId="5164" xr:uid="{00000000-0005-0000-0000-00008A140000}"/>
    <cellStyle name="Normal 4 3 3 3 2 3 2" xfId="14490" xr:uid="{18E35777-308A-4523-92E9-B4FFCDD3D961}"/>
    <cellStyle name="Normal 4 3 3 3 2 3 3" xfId="22937" xr:uid="{5AC2A819-BD8C-4757-AB23-F3F18B66CC66}"/>
    <cellStyle name="Normal 4 3 3 3 2 4" xfId="9453" xr:uid="{18D68920-503C-42C1-A733-EBE17DC6D008}"/>
    <cellStyle name="Normal 4 3 3 3 2 5" xfId="10273" xr:uid="{A69520FC-4052-4699-8C4A-E114F9A59D71}"/>
    <cellStyle name="Normal 4 3 3 3 2 6" xfId="18720" xr:uid="{09123FCE-DA9E-4F94-A39B-2FA7220AF885}"/>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DBFB4C03-FD3E-483F-AEFC-6106D914A50E}"/>
    <cellStyle name="Normal 4 3 3 3 3 2 2 3" xfId="25495" xr:uid="{7A864E6D-7136-4E7E-8CB5-182628F4B69D}"/>
    <cellStyle name="Normal 4 3 3 3 3 2 3" xfId="12831" xr:uid="{EC5D510E-DD68-4B49-99C3-953B3CEA5A1A}"/>
    <cellStyle name="Normal 4 3 3 3 3 2 4" xfId="21278" xr:uid="{C3691FCE-14EA-4622-B5A3-978BA231E44C}"/>
    <cellStyle name="Normal 4 3 3 3 3 3" xfId="5577" xr:uid="{00000000-0005-0000-0000-00008E140000}"/>
    <cellStyle name="Normal 4 3 3 3 3 3 2" xfId="14903" xr:uid="{94E67FEB-9EA3-42DF-B96F-6F9B2D775574}"/>
    <cellStyle name="Normal 4 3 3 3 3 3 3" xfId="23350" xr:uid="{4C6555F5-250B-4A04-81C8-3CCBA023C48D}"/>
    <cellStyle name="Normal 4 3 3 3 3 4" xfId="10686" xr:uid="{2ACF4D09-2AF6-4E6B-BF35-B706D9647CA0}"/>
    <cellStyle name="Normal 4 3 3 3 3 5" xfId="19133" xr:uid="{B6590157-070A-491E-88E0-F1C0D5114907}"/>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0D50123E-B4E8-492A-804B-EE57390A2C70}"/>
    <cellStyle name="Normal 4 3 3 3 4 2 2 3" xfId="25908" xr:uid="{B52168C8-DE8E-4E15-A314-8DFB551161A3}"/>
    <cellStyle name="Normal 4 3 3 3 4 2 3" xfId="13244" xr:uid="{49660518-55CD-47AE-AA61-E71175D59BCF}"/>
    <cellStyle name="Normal 4 3 3 3 4 2 4" xfId="21691" xr:uid="{0C5CFA9B-7E9E-4C54-BD45-EF72B25D516B}"/>
    <cellStyle name="Normal 4 3 3 3 4 3" xfId="5990" xr:uid="{00000000-0005-0000-0000-000092140000}"/>
    <cellStyle name="Normal 4 3 3 3 4 3 2" xfId="15316" xr:uid="{585BFA2C-3D35-4ABF-937B-4DC23762640F}"/>
    <cellStyle name="Normal 4 3 3 3 4 3 3" xfId="23763" xr:uid="{DA79C1CC-B8C2-4C97-AE49-699C2FA60BF0}"/>
    <cellStyle name="Normal 4 3 3 3 4 4" xfId="11099" xr:uid="{DBF0B149-BA95-4EC4-97C6-3DCF8B3EB223}"/>
    <cellStyle name="Normal 4 3 3 3 4 5" xfId="19546" xr:uid="{F7642B38-7CF3-4F53-8AC4-C96D4BD6F6EF}"/>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EE86B858-B7B8-4133-9CBE-65E22BD38043}"/>
    <cellStyle name="Normal 4 3 3 3 5 2 2 3" xfId="26321" xr:uid="{B5C96436-C9F5-4074-9715-3ECA19CE43B7}"/>
    <cellStyle name="Normal 4 3 3 3 5 2 3" xfId="13657" xr:uid="{59602B9D-D241-4BBA-8856-6A2C1735D03B}"/>
    <cellStyle name="Normal 4 3 3 3 5 2 4" xfId="22104" xr:uid="{122CFA51-AFCC-42C8-982B-74B47954A4E7}"/>
    <cellStyle name="Normal 4 3 3 3 5 3" xfId="6403" xr:uid="{00000000-0005-0000-0000-000096140000}"/>
    <cellStyle name="Normal 4 3 3 3 5 3 2" xfId="15729" xr:uid="{4E8EA04B-95E9-473B-9639-D8916BB7EED8}"/>
    <cellStyle name="Normal 4 3 3 3 5 3 3" xfId="24176" xr:uid="{5031EEAF-4988-44AD-8392-B3E0118FF664}"/>
    <cellStyle name="Normal 4 3 3 3 5 4" xfId="11512" xr:uid="{943992BD-D38A-4AED-A30D-5A1766FC01AC}"/>
    <cellStyle name="Normal 4 3 3 3 5 5" xfId="19959" xr:uid="{557621F8-256C-44A7-9184-37519CF5F219}"/>
    <cellStyle name="Normal 4 3 3 3 6" xfId="2533" xr:uid="{00000000-0005-0000-0000-000097140000}"/>
    <cellStyle name="Normal 4 3 3 3 6 2" xfId="6816" xr:uid="{00000000-0005-0000-0000-000098140000}"/>
    <cellStyle name="Normal 4 3 3 3 6 2 2" xfId="16142" xr:uid="{84650CD9-015A-4340-B9D8-470DE890DC6F}"/>
    <cellStyle name="Normal 4 3 3 3 6 2 3" xfId="24589" xr:uid="{5D913D76-C838-46B2-9E65-31E5681AE12E}"/>
    <cellStyle name="Normal 4 3 3 3 6 3" xfId="11925" xr:uid="{DF7C8A6A-AF87-43A0-BADF-1C46A7706CED}"/>
    <cellStyle name="Normal 4 3 3 3 6 4" xfId="20372" xr:uid="{C19194CF-68CF-46D6-848C-EE2887C2D997}"/>
    <cellStyle name="Normal 4 3 3 3 7" xfId="4751" xr:uid="{00000000-0005-0000-0000-000099140000}"/>
    <cellStyle name="Normal 4 3 3 3 7 2" xfId="14077" xr:uid="{3DC9A588-5E67-4483-ADB6-00082349E37D}"/>
    <cellStyle name="Normal 4 3 3 3 7 3" xfId="22524" xr:uid="{62AA453C-1B55-4A50-B942-16B6ADF60048}"/>
    <cellStyle name="Normal 4 3 3 3 8" xfId="9028" xr:uid="{A0BD85BE-0D8B-455E-B326-708B8FF8A8C8}"/>
    <cellStyle name="Normal 4 3 3 3 9" xfId="9860" xr:uid="{4003807C-B31A-46E1-ACF3-C19BEB2C2EEA}"/>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CD632317-200F-4588-AB80-4871B084F7F3}"/>
    <cellStyle name="Normal 4 3 3 4 2 2 3" xfId="25079" xr:uid="{B6364640-DBA3-4FAD-9517-E11A8C970502}"/>
    <cellStyle name="Normal 4 3 3 4 2 3" xfId="12415" xr:uid="{E407A8FA-BF12-4910-8BB5-E9627BE7A75A}"/>
    <cellStyle name="Normal 4 3 3 4 2 4" xfId="20862" xr:uid="{2013DE51-9353-4953-B6E1-F268BB7A9E52}"/>
    <cellStyle name="Normal 4 3 3 4 3" xfId="5161" xr:uid="{00000000-0005-0000-0000-00009D140000}"/>
    <cellStyle name="Normal 4 3 3 4 3 2" xfId="14487" xr:uid="{9786BC7D-F741-48F0-A655-1C615486485F}"/>
    <cellStyle name="Normal 4 3 3 4 3 3" xfId="22934" xr:uid="{D0B32971-D179-4C83-B947-334ED62A2035}"/>
    <cellStyle name="Normal 4 3 3 4 4" xfId="9246" xr:uid="{E1107DA9-8F13-4216-80A2-CEA1D2EF57FC}"/>
    <cellStyle name="Normal 4 3 3 4 5" xfId="10270" xr:uid="{5C0C9876-D360-406F-9707-067AB156F6BC}"/>
    <cellStyle name="Normal 4 3 3 4 6" xfId="18717" xr:uid="{8AC69183-609F-40F4-89A3-9DF28489E5BD}"/>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30DC5076-0CAB-4699-8AAE-CE0A73E58DB2}"/>
    <cellStyle name="Normal 4 3 3 5 2 2 3" xfId="25492" xr:uid="{ADA92F3D-6767-47B3-907F-BD3D7DF6A40B}"/>
    <cellStyle name="Normal 4 3 3 5 2 3" xfId="12828" xr:uid="{DFAEA92C-93E4-495B-AB19-724E3681A10B}"/>
    <cellStyle name="Normal 4 3 3 5 2 4" xfId="21275" xr:uid="{B81587FB-DD34-4483-94E5-A24E265645DB}"/>
    <cellStyle name="Normal 4 3 3 5 3" xfId="5574" xr:uid="{00000000-0005-0000-0000-0000A1140000}"/>
    <cellStyle name="Normal 4 3 3 5 3 2" xfId="14900" xr:uid="{505A52AC-5A76-4200-B61A-3A13BDB6400C}"/>
    <cellStyle name="Normal 4 3 3 5 3 3" xfId="23347" xr:uid="{B19F63FD-71E2-4409-AB19-3C4091D1E9DE}"/>
    <cellStyle name="Normal 4 3 3 5 4" xfId="10683" xr:uid="{203F155E-82C3-4139-9BCA-A48B16E03538}"/>
    <cellStyle name="Normal 4 3 3 5 5" xfId="19130" xr:uid="{336F3177-6B2E-490B-888A-0FB088D8F056}"/>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63F24EBD-2F9D-4BE3-9C57-9692B176ACD3}"/>
    <cellStyle name="Normal 4 3 3 6 2 2 3" xfId="25905" xr:uid="{CBB2789D-98D8-436F-9A05-35C96F29BE91}"/>
    <cellStyle name="Normal 4 3 3 6 2 3" xfId="13241" xr:uid="{26BFE908-BC88-42E4-B8A8-09510B9C19A6}"/>
    <cellStyle name="Normal 4 3 3 6 2 4" xfId="21688" xr:uid="{BE40EEDF-9AB9-4ACA-987A-7C7A81E19AAC}"/>
    <cellStyle name="Normal 4 3 3 6 3" xfId="5987" xr:uid="{00000000-0005-0000-0000-0000A5140000}"/>
    <cellStyle name="Normal 4 3 3 6 3 2" xfId="15313" xr:uid="{157C43D9-612E-4528-AFE9-F99D16B03BD8}"/>
    <cellStyle name="Normal 4 3 3 6 3 3" xfId="23760" xr:uid="{C6C003FF-174A-40C0-8F88-644E09505970}"/>
    <cellStyle name="Normal 4 3 3 6 4" xfId="11096" xr:uid="{5F99BF9B-CCD3-4CF1-9243-43DD3764E051}"/>
    <cellStyle name="Normal 4 3 3 6 5" xfId="19543" xr:uid="{63EE1F3D-AC4D-4B32-8900-2B396B863C05}"/>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74D187FD-9F0A-4E50-A58B-F90C731A4D1E}"/>
    <cellStyle name="Normal 4 3 3 7 2 2 3" xfId="26318" xr:uid="{5BECB7DE-CB06-4759-80A2-A317D83694C6}"/>
    <cellStyle name="Normal 4 3 3 7 2 3" xfId="13654" xr:uid="{DE1E22E7-BD4B-4975-BEA1-EFD11546F795}"/>
    <cellStyle name="Normal 4 3 3 7 2 4" xfId="22101" xr:uid="{1859BC72-4530-4B97-9044-95E5C5FF88C1}"/>
    <cellStyle name="Normal 4 3 3 7 3" xfId="6400" xr:uid="{00000000-0005-0000-0000-0000A9140000}"/>
    <cellStyle name="Normal 4 3 3 7 3 2" xfId="15726" xr:uid="{933C0449-0454-4065-AA0C-6FB963597D97}"/>
    <cellStyle name="Normal 4 3 3 7 3 3" xfId="24173" xr:uid="{93747500-F594-4584-91DA-C72C3E089644}"/>
    <cellStyle name="Normal 4 3 3 7 4" xfId="11509" xr:uid="{F323F6C9-A730-446B-B357-0311B9F04DE8}"/>
    <cellStyle name="Normal 4 3 3 7 5" xfId="19956" xr:uid="{8EE95BCD-5F15-4DE7-8B10-3B3FF91A002D}"/>
    <cellStyle name="Normal 4 3 3 8" xfId="2530" xr:uid="{00000000-0005-0000-0000-0000AA140000}"/>
    <cellStyle name="Normal 4 3 3 8 2" xfId="6813" xr:uid="{00000000-0005-0000-0000-0000AB140000}"/>
    <cellStyle name="Normal 4 3 3 8 2 2" xfId="16139" xr:uid="{1C4F934E-69BC-4284-A13B-CA5FB758CE2F}"/>
    <cellStyle name="Normal 4 3 3 8 2 3" xfId="24586" xr:uid="{8B69B27F-DCD5-4FD2-A5D7-A9F45D20BF25}"/>
    <cellStyle name="Normal 4 3 3 8 3" xfId="11922" xr:uid="{9D1DFD7E-5C00-4318-B3EA-793CA370A051}"/>
    <cellStyle name="Normal 4 3 3 8 4" xfId="20369" xr:uid="{60407172-FC9C-489C-A5E2-4E4E38580CFB}"/>
    <cellStyle name="Normal 4 3 3 9" xfId="4748" xr:uid="{00000000-0005-0000-0000-0000AC140000}"/>
    <cellStyle name="Normal 4 3 3 9 2" xfId="14074" xr:uid="{D13293F8-1C79-4D5D-839C-A959CA8C8D97}"/>
    <cellStyle name="Normal 4 3 3 9 3" xfId="22521" xr:uid="{9AA8DB54-6696-4362-8F01-2E4CA3E34D3A}"/>
    <cellStyle name="Normal 4 3 4" xfId="842" xr:uid="{00000000-0005-0000-0000-0000AD140000}"/>
    <cellStyle name="Normal 4 3 4 2" xfId="3079" xr:uid="{00000000-0005-0000-0000-0000AE140000}"/>
    <cellStyle name="Normal 4 3 4 2 2" xfId="7301" xr:uid="{00000000-0005-0000-0000-0000AF140000}"/>
    <cellStyle name="Normal 4 3 4 2 2 2" xfId="16627" xr:uid="{FC3439EB-B85E-4666-A37D-17EAD24F0B6C}"/>
    <cellStyle name="Normal 4 3 4 2 2 3" xfId="25074" xr:uid="{2B38518C-B8A6-4359-B495-327BADD1DC11}"/>
    <cellStyle name="Normal 4 3 4 2 3" xfId="12410" xr:uid="{475B5A61-4BDD-40AB-98EC-A44572B0AE6B}"/>
    <cellStyle name="Normal 4 3 4 2 4" xfId="20857" xr:uid="{F0FB043F-659F-4278-8300-39262C827B96}"/>
    <cellStyle name="Normal 4 3 4 3" xfId="5156" xr:uid="{00000000-0005-0000-0000-0000B0140000}"/>
    <cellStyle name="Normal 4 3 4 3 2" xfId="14482" xr:uid="{92C57651-61F3-44DA-88DB-EBA44F953361}"/>
    <cellStyle name="Normal 4 3 4 3 3" xfId="22929" xr:uid="{31671238-E387-4DC3-933E-53E5B1C62AF4}"/>
    <cellStyle name="Normal 4 3 4 4" xfId="9608" xr:uid="{C2EFFD2B-01D5-4B2B-BD85-BB4245D6A35E}"/>
    <cellStyle name="Normal 4 3 4 5" xfId="10265" xr:uid="{D5403744-F7A5-472E-9ACF-A822BFB14A3F}"/>
    <cellStyle name="Normal 4 3 4 6" xfId="18712" xr:uid="{3CF62B1F-49BA-4B99-87E8-35847370004F}"/>
    <cellStyle name="Normal 4 3 5" xfId="1262" xr:uid="{00000000-0005-0000-0000-0000B1140000}"/>
    <cellStyle name="Normal 4 3 5 2" xfId="3492" xr:uid="{00000000-0005-0000-0000-0000B2140000}"/>
    <cellStyle name="Normal 4 3 5 2 2" xfId="7714" xr:uid="{00000000-0005-0000-0000-0000B3140000}"/>
    <cellStyle name="Normal 4 3 5 2 2 2" xfId="17040" xr:uid="{9C2708BF-BCDE-4BA4-AFC4-144E512C096C}"/>
    <cellStyle name="Normal 4 3 5 2 2 3" xfId="25487" xr:uid="{CC0FFF05-F6BB-4F0E-B49C-E524A3C90487}"/>
    <cellStyle name="Normal 4 3 5 2 3" xfId="12823" xr:uid="{C1807B3C-56C2-4133-B612-C9245DA2BAED}"/>
    <cellStyle name="Normal 4 3 5 2 4" xfId="21270" xr:uid="{95EAD5E9-6A52-4B7D-B3E9-DE9BF51B09E9}"/>
    <cellStyle name="Normal 4 3 5 3" xfId="5569" xr:uid="{00000000-0005-0000-0000-0000B4140000}"/>
    <cellStyle name="Normal 4 3 5 3 2" xfId="14895" xr:uid="{50AD4A98-A762-4B80-9FB3-EA2FB70D9129}"/>
    <cellStyle name="Normal 4 3 5 3 3" xfId="23342" xr:uid="{A98D5676-8B5B-49FB-B166-67D9115FEAF7}"/>
    <cellStyle name="Normal 4 3 5 4" xfId="10678" xr:uid="{AA0F5364-0B39-4EDD-89A8-D26730843C23}"/>
    <cellStyle name="Normal 4 3 5 5" xfId="19125" xr:uid="{69EEAB49-0C52-46E0-9B1B-90152B285805}"/>
    <cellStyle name="Normal 4 3 6" xfId="1675" xr:uid="{00000000-0005-0000-0000-0000B5140000}"/>
    <cellStyle name="Normal 4 3 6 2" xfId="3905" xr:uid="{00000000-0005-0000-0000-0000B6140000}"/>
    <cellStyle name="Normal 4 3 6 2 2" xfId="8127" xr:uid="{00000000-0005-0000-0000-0000B7140000}"/>
    <cellStyle name="Normal 4 3 6 2 2 2" xfId="17453" xr:uid="{C674E1FC-F7BE-4095-B63A-43E2DF92169A}"/>
    <cellStyle name="Normal 4 3 6 2 2 3" xfId="25900" xr:uid="{74AD10DC-1A05-4D18-BBF2-D4F16E8EB242}"/>
    <cellStyle name="Normal 4 3 6 2 3" xfId="13236" xr:uid="{2C8D932B-F792-4CA3-ACBA-453D887AF344}"/>
    <cellStyle name="Normal 4 3 6 2 4" xfId="21683" xr:uid="{36C5B282-4BBA-4B7A-AD7C-A5D3289CFDDA}"/>
    <cellStyle name="Normal 4 3 6 3" xfId="5982" xr:uid="{00000000-0005-0000-0000-0000B8140000}"/>
    <cellStyle name="Normal 4 3 6 3 2" xfId="15308" xr:uid="{84546000-B8C7-46FB-8949-D099A778E1A9}"/>
    <cellStyle name="Normal 4 3 6 3 3" xfId="23755" xr:uid="{FF627072-F852-4560-9256-3FD0BA3E9710}"/>
    <cellStyle name="Normal 4 3 6 4" xfId="11091" xr:uid="{131FE5C7-C504-4523-ACF6-6E058B63A6E7}"/>
    <cellStyle name="Normal 4 3 6 5" xfId="19538" xr:uid="{211096F2-BB65-44A7-8A70-CDD5719EA06E}"/>
    <cellStyle name="Normal 4 3 7" xfId="2089" xr:uid="{00000000-0005-0000-0000-0000B9140000}"/>
    <cellStyle name="Normal 4 3 7 2" xfId="4318" xr:uid="{00000000-0005-0000-0000-0000BA140000}"/>
    <cellStyle name="Normal 4 3 7 2 2" xfId="8540" xr:uid="{00000000-0005-0000-0000-0000BB140000}"/>
    <cellStyle name="Normal 4 3 7 2 2 2" xfId="17866" xr:uid="{27E816DB-E885-4B5B-908A-E3D37315BD32}"/>
    <cellStyle name="Normal 4 3 7 2 2 3" xfId="26313" xr:uid="{B1351A22-1D9B-4B86-AC29-E8E5F49D98AF}"/>
    <cellStyle name="Normal 4 3 7 2 3" xfId="13649" xr:uid="{EDBE4931-2620-4446-8DCC-5E116798D0E4}"/>
    <cellStyle name="Normal 4 3 7 2 4" xfId="22096" xr:uid="{17D11CB7-EB75-4539-A62B-A4EF4CD9FD3E}"/>
    <cellStyle name="Normal 4 3 7 3" xfId="6395" xr:uid="{00000000-0005-0000-0000-0000BC140000}"/>
    <cellStyle name="Normal 4 3 7 3 2" xfId="15721" xr:uid="{21581A85-E1DA-4EFB-96CB-CB21363A0ED4}"/>
    <cellStyle name="Normal 4 3 7 3 3" xfId="24168" xr:uid="{02F1C2C8-A09A-4838-B8DA-22645C2FB03E}"/>
    <cellStyle name="Normal 4 3 7 4" xfId="11504" xr:uid="{B9471A2D-186C-4E77-93BE-D0588A3FB714}"/>
    <cellStyle name="Normal 4 3 7 5" xfId="19951" xr:uid="{B577A0B3-44D2-49D0-9CF2-7A96CB1CC963}"/>
    <cellStyle name="Normal 4 3 8" xfId="2525" xr:uid="{00000000-0005-0000-0000-0000BD140000}"/>
    <cellStyle name="Normal 4 3 8 2" xfId="6808" xr:uid="{00000000-0005-0000-0000-0000BE140000}"/>
    <cellStyle name="Normal 4 3 8 2 2" xfId="16134" xr:uid="{84A20775-11CD-4EAE-8C20-80A768322C61}"/>
    <cellStyle name="Normal 4 3 8 2 3" xfId="24581" xr:uid="{5B4C6E43-5EF9-4F57-8C19-794F7F244F58}"/>
    <cellStyle name="Normal 4 3 8 3" xfId="11917" xr:uid="{2A7EEAF7-7894-49ED-A72A-5AC8D4263DB8}"/>
    <cellStyle name="Normal 4 3 8 4" xfId="20364" xr:uid="{884EBC53-3114-4F55-9DBE-6A284B8431A9}"/>
    <cellStyle name="Normal 4 3 9" xfId="4743" xr:uid="{00000000-0005-0000-0000-0000BF140000}"/>
    <cellStyle name="Normal 4 3 9 2" xfId="14069" xr:uid="{52BCE2F1-9339-45C6-B7F2-04BD00D1C77F}"/>
    <cellStyle name="Normal 4 3 9 3" xfId="22516" xr:uid="{B2354AF0-D0CD-43EE-ACAC-E928E196B7CB}"/>
    <cellStyle name="Normal 4 4" xfId="378" xr:uid="{00000000-0005-0000-0000-0000C0140000}"/>
    <cellStyle name="Normal 4 4 10" xfId="2534" xr:uid="{00000000-0005-0000-0000-0000C1140000}"/>
    <cellStyle name="Normal 4 4 10 2" xfId="6817" xr:uid="{00000000-0005-0000-0000-0000C2140000}"/>
    <cellStyle name="Normal 4 4 10 2 2" xfId="16143" xr:uid="{AECBF202-92EF-44DD-8E34-55BE6206085E}"/>
    <cellStyle name="Normal 4 4 10 2 3" xfId="24590" xr:uid="{28E9ECA1-73CF-49B1-BED7-A3739EA98434}"/>
    <cellStyle name="Normal 4 4 10 3" xfId="11926" xr:uid="{63837691-BDC5-4554-8CF4-3F655DA7C508}"/>
    <cellStyle name="Normal 4 4 10 4" xfId="20373" xr:uid="{DC06E8D2-EEAC-48A9-8CAC-F38599DEF580}"/>
    <cellStyle name="Normal 4 4 11" xfId="4752" xr:uid="{00000000-0005-0000-0000-0000C3140000}"/>
    <cellStyle name="Normal 4 4 11 2" xfId="14078" xr:uid="{27E2DF20-3597-4165-A47A-8ABFFE779C00}"/>
    <cellStyle name="Normal 4 4 11 3" xfId="22525" xr:uid="{895885DC-0E30-482B-8C41-A5CF698C74CF}"/>
    <cellStyle name="Normal 4 4 12" xfId="8749" xr:uid="{A91736B6-873D-4B1A-8B29-18DC69E5E65F}"/>
    <cellStyle name="Normal 4 4 13" xfId="9861" xr:uid="{913B559B-BF54-4484-BBBE-C023FFA75BB4}"/>
    <cellStyle name="Normal 4 4 14" xfId="18308" xr:uid="{2901E742-66A3-49F1-AEDD-0BE1B25DC4C8}"/>
    <cellStyle name="Normal 4 4 2" xfId="379" xr:uid="{00000000-0005-0000-0000-0000C4140000}"/>
    <cellStyle name="Normal 4 4 2 10" xfId="4753" xr:uid="{00000000-0005-0000-0000-0000C5140000}"/>
    <cellStyle name="Normal 4 4 2 10 2" xfId="14079" xr:uid="{196B9D4F-13E5-441F-B09B-17D356B976A8}"/>
    <cellStyle name="Normal 4 4 2 10 3" xfId="22526" xr:uid="{934C6B7F-A246-47FF-A2BD-BD99040DAB9B}"/>
    <cellStyle name="Normal 4 4 2 11" xfId="8781" xr:uid="{12B8F0AD-1EB8-4D0A-9CAD-21DEEFEDAE41}"/>
    <cellStyle name="Normal 4 4 2 12" xfId="9862" xr:uid="{94099F2B-7B42-4F24-A0CE-561AE8811405}"/>
    <cellStyle name="Normal 4 4 2 13" xfId="18309" xr:uid="{6963CF09-4DD1-4CD0-B347-EBE9C217AD39}"/>
    <cellStyle name="Normal 4 4 2 2" xfId="380" xr:uid="{00000000-0005-0000-0000-0000C6140000}"/>
    <cellStyle name="Normal 4 4 2 2 10" xfId="8824" xr:uid="{FF218EA8-00A9-476B-AA88-FBBBBED2D06B}"/>
    <cellStyle name="Normal 4 4 2 2 11" xfId="9863" xr:uid="{DCBC9AC3-1601-4260-931B-06B46E596102}"/>
    <cellStyle name="Normal 4 4 2 2 12" xfId="18310" xr:uid="{9F6EB00D-32E7-4104-B0D9-8F7E5EB31E8F}"/>
    <cellStyle name="Normal 4 4 2 2 2" xfId="381" xr:uid="{00000000-0005-0000-0000-0000C7140000}"/>
    <cellStyle name="Normal 4 4 2 2 2 10" xfId="9864" xr:uid="{0BB7EA57-23EB-46FB-9E05-E1DA756B881D}"/>
    <cellStyle name="Normal 4 4 2 2 2 11" xfId="18311" xr:uid="{FA8A7417-AB6E-4C2B-AB9E-08C63C89BBAD}"/>
    <cellStyle name="Normal 4 4 2 2 2 2" xfId="382" xr:uid="{00000000-0005-0000-0000-0000C8140000}"/>
    <cellStyle name="Normal 4 4 2 2 2 2 10" xfId="18312" xr:uid="{1A8EF0B1-453F-4643-9AB8-22FBE2939665}"/>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2E6EE06A-8ABA-4C9A-BE4E-7F2D9BFC455A}"/>
    <cellStyle name="Normal 4 4 2 2 2 2 2 2 2 3" xfId="25087" xr:uid="{F72C3DA9-312A-45D5-AAF4-F12BBD6D0BB6}"/>
    <cellStyle name="Normal 4 4 2 2 2 2 2 2 3" xfId="12423" xr:uid="{9A9BD333-28BA-4B3F-AEFC-904A0BB074A0}"/>
    <cellStyle name="Normal 4 4 2 2 2 2 2 2 4" xfId="20870" xr:uid="{4434B16C-E35C-4B43-85AC-364D47721241}"/>
    <cellStyle name="Normal 4 4 2 2 2 2 2 3" xfId="5169" xr:uid="{00000000-0005-0000-0000-0000CC140000}"/>
    <cellStyle name="Normal 4 4 2 2 2 2 2 3 2" xfId="14495" xr:uid="{6F0C6273-F8AA-4DDA-BAB0-AE6C40AF5B6B}"/>
    <cellStyle name="Normal 4 4 2 2 2 2 2 3 3" xfId="22942" xr:uid="{21EC8B5F-9740-451B-87B8-70357377F7A6}"/>
    <cellStyle name="Normal 4 4 2 2 2 2 2 4" xfId="9559" xr:uid="{6E5E886C-D83F-47E6-AD2B-552CC2A98FD0}"/>
    <cellStyle name="Normal 4 4 2 2 2 2 2 5" xfId="10278" xr:uid="{B04A5EDA-B6CA-461A-BE83-8474F94DB1E9}"/>
    <cellStyle name="Normal 4 4 2 2 2 2 2 6" xfId="18725" xr:uid="{9B6DEADD-6311-495B-8FCB-71C2E9088B2E}"/>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5E00FD3E-FDEC-4E21-A577-16757689C3C5}"/>
    <cellStyle name="Normal 4 4 2 2 2 2 3 2 2 3" xfId="25500" xr:uid="{2AA093B2-AB51-4CA1-A853-A23E7D6DC8CB}"/>
    <cellStyle name="Normal 4 4 2 2 2 2 3 2 3" xfId="12836" xr:uid="{B14AC81E-F9B0-49EE-9AB1-7C806C2121A4}"/>
    <cellStyle name="Normal 4 4 2 2 2 2 3 2 4" xfId="21283" xr:uid="{85A53147-2803-4A81-9A1B-40BB5E6E96BB}"/>
    <cellStyle name="Normal 4 4 2 2 2 2 3 3" xfId="5582" xr:uid="{00000000-0005-0000-0000-0000D0140000}"/>
    <cellStyle name="Normal 4 4 2 2 2 2 3 3 2" xfId="14908" xr:uid="{D7EB4AA5-F082-4D53-BEC3-3CD9C5D29CB9}"/>
    <cellStyle name="Normal 4 4 2 2 2 2 3 3 3" xfId="23355" xr:uid="{2B2F87BE-6FB2-4BF2-AB6D-204D1F35F196}"/>
    <cellStyle name="Normal 4 4 2 2 2 2 3 4" xfId="10691" xr:uid="{D8C75D8C-DCC0-4C96-80B2-5397D96FB29F}"/>
    <cellStyle name="Normal 4 4 2 2 2 2 3 5" xfId="19138" xr:uid="{D615115E-018C-4CDF-B367-BDFCA49028CD}"/>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D9121438-3E4B-4969-99B8-D6407F32991C}"/>
    <cellStyle name="Normal 4 4 2 2 2 2 4 2 2 3" xfId="25913" xr:uid="{A1064288-8D6B-434E-A2BD-0F8EC4DE0B98}"/>
    <cellStyle name="Normal 4 4 2 2 2 2 4 2 3" xfId="13249" xr:uid="{346ECC99-AEC3-4423-B93E-4283C33F7CC5}"/>
    <cellStyle name="Normal 4 4 2 2 2 2 4 2 4" xfId="21696" xr:uid="{FC231F6B-852A-48AB-B9D3-FCF6E49E157B}"/>
    <cellStyle name="Normal 4 4 2 2 2 2 4 3" xfId="5995" xr:uid="{00000000-0005-0000-0000-0000D4140000}"/>
    <cellStyle name="Normal 4 4 2 2 2 2 4 3 2" xfId="15321" xr:uid="{0631ADFE-EA29-42B8-9D56-1163D45D7770}"/>
    <cellStyle name="Normal 4 4 2 2 2 2 4 3 3" xfId="23768" xr:uid="{9985B682-A4EA-432F-BA87-72BDA62C4B96}"/>
    <cellStyle name="Normal 4 4 2 2 2 2 4 4" xfId="11104" xr:uid="{74DA7060-2B33-4B11-8C1F-28F73CF6063B}"/>
    <cellStyle name="Normal 4 4 2 2 2 2 4 5" xfId="19551" xr:uid="{65E904C3-FCEC-4E85-B0EC-931D929ABB2D}"/>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FFA6AB6D-8DBA-4A37-A866-AE1B6B2E3C3E}"/>
    <cellStyle name="Normal 4 4 2 2 2 2 5 2 2 3" xfId="26326" xr:uid="{39B97A5C-D612-4AD6-9848-F05C6AE25683}"/>
    <cellStyle name="Normal 4 4 2 2 2 2 5 2 3" xfId="13662" xr:uid="{4CBCE6E7-642E-4C4B-85F3-3DC8E3B10648}"/>
    <cellStyle name="Normal 4 4 2 2 2 2 5 2 4" xfId="22109" xr:uid="{9ECDE5E5-5688-42AB-A500-55E5AC4ECBED}"/>
    <cellStyle name="Normal 4 4 2 2 2 2 5 3" xfId="6408" xr:uid="{00000000-0005-0000-0000-0000D8140000}"/>
    <cellStyle name="Normal 4 4 2 2 2 2 5 3 2" xfId="15734" xr:uid="{C8AE8FC6-5ADD-4FA3-93B6-296C8A3E7A3A}"/>
    <cellStyle name="Normal 4 4 2 2 2 2 5 3 3" xfId="24181" xr:uid="{20520CD8-83CD-4E45-AE4B-A8F31BDA6587}"/>
    <cellStyle name="Normal 4 4 2 2 2 2 5 4" xfId="11517" xr:uid="{1FA63D7E-8770-490F-A103-A09CF8A9AB10}"/>
    <cellStyle name="Normal 4 4 2 2 2 2 5 5" xfId="19964" xr:uid="{D323708D-400C-4E3E-A8E7-4F535C5684FC}"/>
    <cellStyle name="Normal 4 4 2 2 2 2 6" xfId="2538" xr:uid="{00000000-0005-0000-0000-0000D9140000}"/>
    <cellStyle name="Normal 4 4 2 2 2 2 6 2" xfId="6821" xr:uid="{00000000-0005-0000-0000-0000DA140000}"/>
    <cellStyle name="Normal 4 4 2 2 2 2 6 2 2" xfId="16147" xr:uid="{C3E86EFC-FAAB-41BA-83EC-9F5E73ECAAE9}"/>
    <cellStyle name="Normal 4 4 2 2 2 2 6 2 3" xfId="24594" xr:uid="{66CBDB61-4D0C-4E4C-8B1A-CAF132F174BD}"/>
    <cellStyle name="Normal 4 4 2 2 2 2 6 3" xfId="11930" xr:uid="{70E0DC38-E602-4377-9F96-9A7DFD90031C}"/>
    <cellStyle name="Normal 4 4 2 2 2 2 6 4" xfId="20377" xr:uid="{F6B31A6F-8244-48A1-8047-D8F4C3E0BDF1}"/>
    <cellStyle name="Normal 4 4 2 2 2 2 7" xfId="4756" xr:uid="{00000000-0005-0000-0000-0000DB140000}"/>
    <cellStyle name="Normal 4 4 2 2 2 2 7 2" xfId="14082" xr:uid="{4426C1E0-B5E0-45F4-82C9-E505964F2C9E}"/>
    <cellStyle name="Normal 4 4 2 2 2 2 7 3" xfId="22529" xr:uid="{89058371-0C9A-4FFE-85CB-02BD71BD031A}"/>
    <cellStyle name="Normal 4 4 2 2 2 2 8" xfId="9134" xr:uid="{B37D4C66-6754-4A5E-BFF7-77694E4355C2}"/>
    <cellStyle name="Normal 4 4 2 2 2 2 9" xfId="9865" xr:uid="{1F1B3766-5676-4236-ADD9-A57864F1CD9B}"/>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389EBFFF-B0E9-4DCE-A877-84A074D25177}"/>
    <cellStyle name="Normal 4 4 2 2 2 3 2 2 3" xfId="25086" xr:uid="{E2E5C235-71C4-4D23-A56C-655C4D144024}"/>
    <cellStyle name="Normal 4 4 2 2 2 3 2 3" xfId="12422" xr:uid="{770875C6-1649-4BBE-966D-724F6AFD4D16}"/>
    <cellStyle name="Normal 4 4 2 2 2 3 2 4" xfId="20869" xr:uid="{AB733FC0-22DF-4DFE-973F-F4690AB36D80}"/>
    <cellStyle name="Normal 4 4 2 2 2 3 3" xfId="5168" xr:uid="{00000000-0005-0000-0000-0000DF140000}"/>
    <cellStyle name="Normal 4 4 2 2 2 3 3 2" xfId="14494" xr:uid="{2497AB86-8286-48E2-89C0-ED1B38B21A29}"/>
    <cellStyle name="Normal 4 4 2 2 2 3 3 3" xfId="22941" xr:uid="{1853BFE2-90D6-4470-86BF-00E1E1AFD585}"/>
    <cellStyle name="Normal 4 4 2 2 2 3 4" xfId="9352" xr:uid="{76F31DA2-44D0-447F-BA9C-6271BA6AAE96}"/>
    <cellStyle name="Normal 4 4 2 2 2 3 5" xfId="10277" xr:uid="{099B13F8-BD66-4182-AC37-C9AF28A71DF3}"/>
    <cellStyle name="Normal 4 4 2 2 2 3 6" xfId="18724" xr:uid="{4DE49D32-C90B-4902-B14F-BA81B460EF9C}"/>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7B84A165-16C5-4470-A1F9-D302F5CA4E4A}"/>
    <cellStyle name="Normal 4 4 2 2 2 4 2 2 3" xfId="25499" xr:uid="{2AB08B03-D6B7-4F31-9B68-014A2E84640B}"/>
    <cellStyle name="Normal 4 4 2 2 2 4 2 3" xfId="12835" xr:uid="{C2894FB6-429D-4B96-8146-E7EE071BC604}"/>
    <cellStyle name="Normal 4 4 2 2 2 4 2 4" xfId="21282" xr:uid="{35C19C0E-F924-4D9E-BC71-47F9170730F8}"/>
    <cellStyle name="Normal 4 4 2 2 2 4 3" xfId="5581" xr:uid="{00000000-0005-0000-0000-0000E3140000}"/>
    <cellStyle name="Normal 4 4 2 2 2 4 3 2" xfId="14907" xr:uid="{C47BFB8F-825E-46A1-95B3-F77DB26B2394}"/>
    <cellStyle name="Normal 4 4 2 2 2 4 3 3" xfId="23354" xr:uid="{CA63C76E-7264-4539-9988-AD00C3EF91A9}"/>
    <cellStyle name="Normal 4 4 2 2 2 4 4" xfId="10690" xr:uid="{C6EB1A13-1E97-473A-8F81-F796BA3139E3}"/>
    <cellStyle name="Normal 4 4 2 2 2 4 5" xfId="19137" xr:uid="{AD4795D7-AF3C-47F5-8D84-FCAB6912F47E}"/>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35CB864B-6AF5-4A8D-97FC-A2B56DE8ED6A}"/>
    <cellStyle name="Normal 4 4 2 2 2 5 2 2 3" xfId="25912" xr:uid="{0B0D77DC-E9DE-4F09-A13B-F301B5BF8899}"/>
    <cellStyle name="Normal 4 4 2 2 2 5 2 3" xfId="13248" xr:uid="{BC86C0B4-B485-48CD-8BE4-59B0032E8E81}"/>
    <cellStyle name="Normal 4 4 2 2 2 5 2 4" xfId="21695" xr:uid="{B12A8791-7C2D-4191-ACB9-59C6DC950B84}"/>
    <cellStyle name="Normal 4 4 2 2 2 5 3" xfId="5994" xr:uid="{00000000-0005-0000-0000-0000E7140000}"/>
    <cellStyle name="Normal 4 4 2 2 2 5 3 2" xfId="15320" xr:uid="{0989AC77-EC4B-4587-8154-CF477045BCF8}"/>
    <cellStyle name="Normal 4 4 2 2 2 5 3 3" xfId="23767" xr:uid="{C90C6DE1-FAA1-421D-8A13-D9F885CCA8CB}"/>
    <cellStyle name="Normal 4 4 2 2 2 5 4" xfId="11103" xr:uid="{E4842AC6-5967-4CCF-B149-EC1FDDDD5294}"/>
    <cellStyle name="Normal 4 4 2 2 2 5 5" xfId="19550" xr:uid="{3134930D-325F-47D4-8392-1F6067DBAAFA}"/>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A171B29D-265D-4207-BFED-C4BEC2979A6E}"/>
    <cellStyle name="Normal 4 4 2 2 2 6 2 2 3" xfId="26325" xr:uid="{06EF0010-D0D2-4C28-A27F-8576D8EEA62A}"/>
    <cellStyle name="Normal 4 4 2 2 2 6 2 3" xfId="13661" xr:uid="{04CA8AAC-DB9A-430B-B44E-EBC75FEB4137}"/>
    <cellStyle name="Normal 4 4 2 2 2 6 2 4" xfId="22108" xr:uid="{F41834C2-610E-483D-8DAF-1579762EE4B5}"/>
    <cellStyle name="Normal 4 4 2 2 2 6 3" xfId="6407" xr:uid="{00000000-0005-0000-0000-0000EB140000}"/>
    <cellStyle name="Normal 4 4 2 2 2 6 3 2" xfId="15733" xr:uid="{A5C22C2B-4BAA-4FD3-B8FC-2047CB5332E3}"/>
    <cellStyle name="Normal 4 4 2 2 2 6 3 3" xfId="24180" xr:uid="{B31D5175-C63D-4F47-8B10-379400BF555C}"/>
    <cellStyle name="Normal 4 4 2 2 2 6 4" xfId="11516" xr:uid="{162D0481-5877-481C-83FE-9C2598A6AD0D}"/>
    <cellStyle name="Normal 4 4 2 2 2 6 5" xfId="19963" xr:uid="{2F6DD75B-CD08-4AC2-B821-9F8984A703E8}"/>
    <cellStyle name="Normal 4 4 2 2 2 7" xfId="2537" xr:uid="{00000000-0005-0000-0000-0000EC140000}"/>
    <cellStyle name="Normal 4 4 2 2 2 7 2" xfId="6820" xr:uid="{00000000-0005-0000-0000-0000ED140000}"/>
    <cellStyle name="Normal 4 4 2 2 2 7 2 2" xfId="16146" xr:uid="{D03CA911-950B-434A-8891-613A7AA36472}"/>
    <cellStyle name="Normal 4 4 2 2 2 7 2 3" xfId="24593" xr:uid="{B144090D-6823-4A07-97E1-BC40E5577B14}"/>
    <cellStyle name="Normal 4 4 2 2 2 7 3" xfId="11929" xr:uid="{3D5116C8-E377-4485-B159-1B1A277120D6}"/>
    <cellStyle name="Normal 4 4 2 2 2 7 4" xfId="20376" xr:uid="{638A7645-82AA-4012-8B9D-BA11E9B634FD}"/>
    <cellStyle name="Normal 4 4 2 2 2 8" xfId="4755" xr:uid="{00000000-0005-0000-0000-0000EE140000}"/>
    <cellStyle name="Normal 4 4 2 2 2 8 2" xfId="14081" xr:uid="{235956B1-952F-4810-82D5-3060DABBCC0A}"/>
    <cellStyle name="Normal 4 4 2 2 2 8 3" xfId="22528" xr:uid="{C0530E81-AE8C-4142-95B1-9AD834BC31EA}"/>
    <cellStyle name="Normal 4 4 2 2 2 9" xfId="8927" xr:uid="{195B9197-F273-4D3B-B7A6-9CBAA360D528}"/>
    <cellStyle name="Normal 4 4 2 2 3" xfId="383" xr:uid="{00000000-0005-0000-0000-0000EF140000}"/>
    <cellStyle name="Normal 4 4 2 2 3 10" xfId="18313" xr:uid="{1E0D18E5-3AD3-4A79-A088-0DF51E894E8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314E3A50-8D11-4FED-86EE-34263CEE8D03}"/>
    <cellStyle name="Normal 4 4 2 2 3 2 2 2 3" xfId="25088" xr:uid="{CF3BA81E-3DD1-41DD-AE10-25A2FF15FD52}"/>
    <cellStyle name="Normal 4 4 2 2 3 2 2 3" xfId="12424" xr:uid="{00D91DA7-5948-44AD-A006-24013270159B}"/>
    <cellStyle name="Normal 4 4 2 2 3 2 2 4" xfId="20871" xr:uid="{0CC8BC8F-8A9F-4501-A241-5AEE933ECD54}"/>
    <cellStyle name="Normal 4 4 2 2 3 2 3" xfId="5170" xr:uid="{00000000-0005-0000-0000-0000F3140000}"/>
    <cellStyle name="Normal 4 4 2 2 3 2 3 2" xfId="14496" xr:uid="{D24B8385-4307-46CA-8188-DF8AA4983C5A}"/>
    <cellStyle name="Normal 4 4 2 2 3 2 3 3" xfId="22943" xr:uid="{583F6362-880F-4920-B5E5-AB2F33544B00}"/>
    <cellStyle name="Normal 4 4 2 2 3 2 4" xfId="9456" xr:uid="{7CB0B972-68D8-4A2C-A3A7-1D2BD109E44A}"/>
    <cellStyle name="Normal 4 4 2 2 3 2 5" xfId="10279" xr:uid="{95A6E2EA-E934-4F64-B202-4613AE1C85CD}"/>
    <cellStyle name="Normal 4 4 2 2 3 2 6" xfId="18726" xr:uid="{2F8200C6-716E-4F82-B7BA-F9EACFDB2F06}"/>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32A2DE44-5795-4AE4-A445-3278E2B75C24}"/>
    <cellStyle name="Normal 4 4 2 2 3 3 2 2 3" xfId="25501" xr:uid="{F511CD01-DE65-4927-9A76-A0991215C581}"/>
    <cellStyle name="Normal 4 4 2 2 3 3 2 3" xfId="12837" xr:uid="{E08BE889-C04D-4C01-95A3-E0BEF916C4BB}"/>
    <cellStyle name="Normal 4 4 2 2 3 3 2 4" xfId="21284" xr:uid="{BE160A75-D4F5-4916-B80E-C1D4960505B2}"/>
    <cellStyle name="Normal 4 4 2 2 3 3 3" xfId="5583" xr:uid="{00000000-0005-0000-0000-0000F7140000}"/>
    <cellStyle name="Normal 4 4 2 2 3 3 3 2" xfId="14909" xr:uid="{02A5358A-1F2C-41DD-ADE4-1BB28FFEE311}"/>
    <cellStyle name="Normal 4 4 2 2 3 3 3 3" xfId="23356" xr:uid="{FC2EDC90-1525-43BB-9F05-74F222CF2442}"/>
    <cellStyle name="Normal 4 4 2 2 3 3 4" xfId="10692" xr:uid="{C8691BB1-19CF-4BEA-94DB-73AA1E555CE8}"/>
    <cellStyle name="Normal 4 4 2 2 3 3 5" xfId="19139" xr:uid="{1842B1AE-B5B7-4C01-BA7C-0658E7F5B6E4}"/>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A130EB38-A23F-4256-B0E2-79332A472CEE}"/>
    <cellStyle name="Normal 4 4 2 2 3 4 2 2 3" xfId="25914" xr:uid="{8D53FEFD-7600-4520-9FA3-033BC39F9E0A}"/>
    <cellStyle name="Normal 4 4 2 2 3 4 2 3" xfId="13250" xr:uid="{636E2C99-0841-4120-8A3B-45A9FD27BB81}"/>
    <cellStyle name="Normal 4 4 2 2 3 4 2 4" xfId="21697" xr:uid="{8BA28118-3C02-41F1-A28A-1D149D6B0952}"/>
    <cellStyle name="Normal 4 4 2 2 3 4 3" xfId="5996" xr:uid="{00000000-0005-0000-0000-0000FB140000}"/>
    <cellStyle name="Normal 4 4 2 2 3 4 3 2" xfId="15322" xr:uid="{D6031EC0-FCBB-4B57-9F76-20FA1EBD5E8F}"/>
    <cellStyle name="Normal 4 4 2 2 3 4 3 3" xfId="23769" xr:uid="{575F31E8-E9E4-4496-A95C-31F7618D6AAC}"/>
    <cellStyle name="Normal 4 4 2 2 3 4 4" xfId="11105" xr:uid="{EC3C6AEE-A394-4670-81FD-F91980B13D2C}"/>
    <cellStyle name="Normal 4 4 2 2 3 4 5" xfId="19552" xr:uid="{40E09ABD-5F6F-42D1-9C3A-B9A595EC513E}"/>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7D3E74AC-BBC3-4A64-BF47-A0DC33A8C979}"/>
    <cellStyle name="Normal 4 4 2 2 3 5 2 2 3" xfId="26327" xr:uid="{146ECFE7-DB45-4D60-9FBF-E56F0C1036FF}"/>
    <cellStyle name="Normal 4 4 2 2 3 5 2 3" xfId="13663" xr:uid="{3FEC1C64-A00F-4A9E-AD6B-E44D1988A874}"/>
    <cellStyle name="Normal 4 4 2 2 3 5 2 4" xfId="22110" xr:uid="{CBF50B2A-C019-428B-83F5-BFED146D200E}"/>
    <cellStyle name="Normal 4 4 2 2 3 5 3" xfId="6409" xr:uid="{00000000-0005-0000-0000-0000FF140000}"/>
    <cellStyle name="Normal 4 4 2 2 3 5 3 2" xfId="15735" xr:uid="{9819FDC4-6BB1-43CD-B1AF-C4898B87EE09}"/>
    <cellStyle name="Normal 4 4 2 2 3 5 3 3" xfId="24182" xr:uid="{8AA90A98-48B0-4893-B502-AD0FAEFCFBAE}"/>
    <cellStyle name="Normal 4 4 2 2 3 5 4" xfId="11518" xr:uid="{F837FB79-94DE-4632-94E1-59B8942A965D}"/>
    <cellStyle name="Normal 4 4 2 2 3 5 5" xfId="19965" xr:uid="{F5EA6B1A-FB58-4C92-9BEE-E41D02B4D5BC}"/>
    <cellStyle name="Normal 4 4 2 2 3 6" xfId="2539" xr:uid="{00000000-0005-0000-0000-000000150000}"/>
    <cellStyle name="Normal 4 4 2 2 3 6 2" xfId="6822" xr:uid="{00000000-0005-0000-0000-000001150000}"/>
    <cellStyle name="Normal 4 4 2 2 3 6 2 2" xfId="16148" xr:uid="{4CBA863E-FF8E-4F80-8E30-6EDF0BFAFD5F}"/>
    <cellStyle name="Normal 4 4 2 2 3 6 2 3" xfId="24595" xr:uid="{49E8F0BF-372C-4B58-800A-245FE6F2EF90}"/>
    <cellStyle name="Normal 4 4 2 2 3 6 3" xfId="11931" xr:uid="{94277229-340C-45C9-90DA-8C2B848FC320}"/>
    <cellStyle name="Normal 4 4 2 2 3 6 4" xfId="20378" xr:uid="{A7AC9C97-3657-4287-8C3A-A372477AD93A}"/>
    <cellStyle name="Normal 4 4 2 2 3 7" xfId="4757" xr:uid="{00000000-0005-0000-0000-000002150000}"/>
    <cellStyle name="Normal 4 4 2 2 3 7 2" xfId="14083" xr:uid="{4F31A06D-4D5D-46DD-ADC6-4EE89CC1A389}"/>
    <cellStyle name="Normal 4 4 2 2 3 7 3" xfId="22530" xr:uid="{E1CD64D4-31A1-40AC-9FE9-C8CE7CDED3E3}"/>
    <cellStyle name="Normal 4 4 2 2 3 8" xfId="9031" xr:uid="{F1B59444-328A-4279-8A0A-A9F7E26061D5}"/>
    <cellStyle name="Normal 4 4 2 2 3 9" xfId="9866" xr:uid="{EAF3ADC5-51AC-4AAF-8CA1-46CF51EA0048}"/>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3856A840-606F-42D6-B56D-1661237F14AA}"/>
    <cellStyle name="Normal 4 4 2 2 4 2 2 3" xfId="25085" xr:uid="{5846B00C-AB48-4DD8-83CD-6B72A0A54151}"/>
    <cellStyle name="Normal 4 4 2 2 4 2 3" xfId="12421" xr:uid="{FB0EC968-4E26-419B-8621-154576E57499}"/>
    <cellStyle name="Normal 4 4 2 2 4 2 4" xfId="20868" xr:uid="{0B75F191-F6E2-4588-9EC9-E0C648319AF9}"/>
    <cellStyle name="Normal 4 4 2 2 4 3" xfId="5167" xr:uid="{00000000-0005-0000-0000-000006150000}"/>
    <cellStyle name="Normal 4 4 2 2 4 3 2" xfId="14493" xr:uid="{122C68B2-CDE8-4DA1-84C1-B83EABDE5B67}"/>
    <cellStyle name="Normal 4 4 2 2 4 3 3" xfId="22940" xr:uid="{9244330E-9A4D-44FA-8BE6-D9BBE527B8FB}"/>
    <cellStyle name="Normal 4 4 2 2 4 4" xfId="9249" xr:uid="{7E4CA7C7-738D-4CFA-907A-40590344548A}"/>
    <cellStyle name="Normal 4 4 2 2 4 5" xfId="10276" xr:uid="{DAF92E98-202F-4F95-A828-539716121AF4}"/>
    <cellStyle name="Normal 4 4 2 2 4 6" xfId="18723" xr:uid="{1A29847E-900E-4599-865B-37428F08E650}"/>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7BA65529-4682-4BEE-8D7C-880C91B0CFFB}"/>
    <cellStyle name="Normal 4 4 2 2 5 2 2 3" xfId="25498" xr:uid="{9E3F7091-BFFD-466E-AD70-6339A8FD939F}"/>
    <cellStyle name="Normal 4 4 2 2 5 2 3" xfId="12834" xr:uid="{FFB693FE-AAA2-41AA-96CC-934BB3679D17}"/>
    <cellStyle name="Normal 4 4 2 2 5 2 4" xfId="21281" xr:uid="{58B19599-9F56-4317-9E49-5B6945422656}"/>
    <cellStyle name="Normal 4 4 2 2 5 3" xfId="5580" xr:uid="{00000000-0005-0000-0000-00000A150000}"/>
    <cellStyle name="Normal 4 4 2 2 5 3 2" xfId="14906" xr:uid="{74572052-5F91-407A-B498-6A059A26C993}"/>
    <cellStyle name="Normal 4 4 2 2 5 3 3" xfId="23353" xr:uid="{78B12D35-F705-494B-8616-517B51FD75C5}"/>
    <cellStyle name="Normal 4 4 2 2 5 4" xfId="10689" xr:uid="{B2516CE2-A427-4DD2-8FE1-9866C0D3E022}"/>
    <cellStyle name="Normal 4 4 2 2 5 5" xfId="19136" xr:uid="{53E96678-FDA5-40BB-B08C-21ED1542892A}"/>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5845F72F-66A9-45F6-B3AD-4C4209941A1A}"/>
    <cellStyle name="Normal 4 4 2 2 6 2 2 3" xfId="25911" xr:uid="{FA895FFD-383E-4BE5-9A44-0AA9D323CBA3}"/>
    <cellStyle name="Normal 4 4 2 2 6 2 3" xfId="13247" xr:uid="{E984AA5B-AE35-4833-B7D0-E2C86ADD4349}"/>
    <cellStyle name="Normal 4 4 2 2 6 2 4" xfId="21694" xr:uid="{1127BB97-D65C-4B0C-9ADF-C198C9C053F0}"/>
    <cellStyle name="Normal 4 4 2 2 6 3" xfId="5993" xr:uid="{00000000-0005-0000-0000-00000E150000}"/>
    <cellStyle name="Normal 4 4 2 2 6 3 2" xfId="15319" xr:uid="{D6E8EBA1-E153-443E-8A60-B3E1EF4692E6}"/>
    <cellStyle name="Normal 4 4 2 2 6 3 3" xfId="23766" xr:uid="{5B2300DB-2B6D-4C69-B805-00AD361D1389}"/>
    <cellStyle name="Normal 4 4 2 2 6 4" xfId="11102" xr:uid="{951055C1-2C81-4219-80CE-AEAA0718A261}"/>
    <cellStyle name="Normal 4 4 2 2 6 5" xfId="19549" xr:uid="{8790925E-5C1F-489D-980B-838BFB5A8BEF}"/>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263DF557-2B82-4346-89E1-C8A2BFD4FDAB}"/>
    <cellStyle name="Normal 4 4 2 2 7 2 2 3" xfId="26324" xr:uid="{7ABFCEE6-35A6-4E7B-ACCE-ADDAD660E5DC}"/>
    <cellStyle name="Normal 4 4 2 2 7 2 3" xfId="13660" xr:uid="{3226C6E2-949C-4A48-AF43-A3F2EA3B725D}"/>
    <cellStyle name="Normal 4 4 2 2 7 2 4" xfId="22107" xr:uid="{739A52BC-7311-4475-BC0D-7A713A4269AF}"/>
    <cellStyle name="Normal 4 4 2 2 7 3" xfId="6406" xr:uid="{00000000-0005-0000-0000-000012150000}"/>
    <cellStyle name="Normal 4 4 2 2 7 3 2" xfId="15732" xr:uid="{29DB3AFD-DECB-4B9B-B219-53562D3CE69A}"/>
    <cellStyle name="Normal 4 4 2 2 7 3 3" xfId="24179" xr:uid="{3BEEE363-E8BF-4228-AF2C-661E2ABBCC01}"/>
    <cellStyle name="Normal 4 4 2 2 7 4" xfId="11515" xr:uid="{83669812-EC90-45CB-A450-684DE94FDFAB}"/>
    <cellStyle name="Normal 4 4 2 2 7 5" xfId="19962" xr:uid="{6E1B82C6-9FD2-457E-88F2-D84B077D4D4F}"/>
    <cellStyle name="Normal 4 4 2 2 8" xfId="2536" xr:uid="{00000000-0005-0000-0000-000013150000}"/>
    <cellStyle name="Normal 4 4 2 2 8 2" xfId="6819" xr:uid="{00000000-0005-0000-0000-000014150000}"/>
    <cellStyle name="Normal 4 4 2 2 8 2 2" xfId="16145" xr:uid="{7144765B-7814-4650-BC33-A87E1FF04144}"/>
    <cellStyle name="Normal 4 4 2 2 8 2 3" xfId="24592" xr:uid="{E283E2DF-7C19-4B5B-B011-ABCE8005C8D9}"/>
    <cellStyle name="Normal 4 4 2 2 8 3" xfId="11928" xr:uid="{C24E0443-8DA1-4E6B-B5AB-10CF8802F9A6}"/>
    <cellStyle name="Normal 4 4 2 2 8 4" xfId="20375" xr:uid="{651FD725-3E8A-4F4D-A045-DB18414D6126}"/>
    <cellStyle name="Normal 4 4 2 2 9" xfId="4754" xr:uid="{00000000-0005-0000-0000-000015150000}"/>
    <cellStyle name="Normal 4 4 2 2 9 2" xfId="14080" xr:uid="{823D5AF9-EF43-4ED0-9792-A75934A7A678}"/>
    <cellStyle name="Normal 4 4 2 2 9 3" xfId="22527" xr:uid="{37DD5A66-03B1-411C-B3F0-D5B42C397E15}"/>
    <cellStyle name="Normal 4 4 2 3" xfId="384" xr:uid="{00000000-0005-0000-0000-000016150000}"/>
    <cellStyle name="Normal 4 4 2 3 10" xfId="9867" xr:uid="{C2BBC6A5-3882-47CA-9E2A-64B79AC23FDB}"/>
    <cellStyle name="Normal 4 4 2 3 11" xfId="18314" xr:uid="{79D3F673-56BB-44D6-895D-B40DFCCC5225}"/>
    <cellStyle name="Normal 4 4 2 3 2" xfId="385" xr:uid="{00000000-0005-0000-0000-000017150000}"/>
    <cellStyle name="Normal 4 4 2 3 2 10" xfId="18315" xr:uid="{C81715A6-FCD3-48C1-A9FC-05B50ABD7E87}"/>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6C0A7EA9-057C-4355-86EB-5E3D70E20C07}"/>
    <cellStyle name="Normal 4 4 2 3 2 2 2 2 3" xfId="25090" xr:uid="{D79EEA5C-79D5-41C0-BEB1-A592A52A9C88}"/>
    <cellStyle name="Normal 4 4 2 3 2 2 2 3" xfId="12426" xr:uid="{8A54182F-B13A-4267-B8DD-C60B5972F300}"/>
    <cellStyle name="Normal 4 4 2 3 2 2 2 4" xfId="20873" xr:uid="{1B690128-1D4C-42BB-9827-DC6A11009412}"/>
    <cellStyle name="Normal 4 4 2 3 2 2 3" xfId="5172" xr:uid="{00000000-0005-0000-0000-00001B150000}"/>
    <cellStyle name="Normal 4 4 2 3 2 2 3 2" xfId="14498" xr:uid="{1F8E5C76-0445-4FFA-992B-526DA0D23365}"/>
    <cellStyle name="Normal 4 4 2 3 2 2 3 3" xfId="22945" xr:uid="{8FD8DF18-2C62-4E6B-80AD-4E81A881678D}"/>
    <cellStyle name="Normal 4 4 2 3 2 2 4" xfId="9516" xr:uid="{93008D3B-5827-4778-B167-5B518B5BF56F}"/>
    <cellStyle name="Normal 4 4 2 3 2 2 5" xfId="10281" xr:uid="{5B3339E1-2863-4CBF-99EE-FB60D04B935F}"/>
    <cellStyle name="Normal 4 4 2 3 2 2 6" xfId="18728" xr:uid="{308E5A95-AF1B-4DA8-A00D-E96644B9EABA}"/>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8A85D8EB-0B96-407B-B708-7341064B3981}"/>
    <cellStyle name="Normal 4 4 2 3 2 3 2 2 3" xfId="25503" xr:uid="{92EE6F04-2C80-43D3-9679-718A007AF8EB}"/>
    <cellStyle name="Normal 4 4 2 3 2 3 2 3" xfId="12839" xr:uid="{CA1E7ED6-32BB-475E-B161-F6F53D5A68A8}"/>
    <cellStyle name="Normal 4 4 2 3 2 3 2 4" xfId="21286" xr:uid="{88E47975-1117-4E24-8AF8-77CE0EF2CD55}"/>
    <cellStyle name="Normal 4 4 2 3 2 3 3" xfId="5585" xr:uid="{00000000-0005-0000-0000-00001F150000}"/>
    <cellStyle name="Normal 4 4 2 3 2 3 3 2" xfId="14911" xr:uid="{896A9E3B-51C9-48E5-9A65-741893A19CA1}"/>
    <cellStyle name="Normal 4 4 2 3 2 3 3 3" xfId="23358" xr:uid="{0DA0DC69-C478-4A82-9A9A-C360F980E6DA}"/>
    <cellStyle name="Normal 4 4 2 3 2 3 4" xfId="10694" xr:uid="{5A13660F-EEBB-4539-ADAB-0B1F95F3B725}"/>
    <cellStyle name="Normal 4 4 2 3 2 3 5" xfId="19141" xr:uid="{5E4A354F-39E5-46B7-96B4-2A8FC4C39976}"/>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7802AFE8-53A9-4299-9939-BC05F9C14EAF}"/>
    <cellStyle name="Normal 4 4 2 3 2 4 2 2 3" xfId="25916" xr:uid="{44BDDE57-9A71-4375-B076-9B3AE35BC0EF}"/>
    <cellStyle name="Normal 4 4 2 3 2 4 2 3" xfId="13252" xr:uid="{F1B43342-2D40-4CFA-BB92-2819DCC8C5E9}"/>
    <cellStyle name="Normal 4 4 2 3 2 4 2 4" xfId="21699" xr:uid="{E650FB3D-84CE-4802-99BA-A9DB10691202}"/>
    <cellStyle name="Normal 4 4 2 3 2 4 3" xfId="5998" xr:uid="{00000000-0005-0000-0000-000023150000}"/>
    <cellStyle name="Normal 4 4 2 3 2 4 3 2" xfId="15324" xr:uid="{DDB3F78C-69AD-45F6-AA2D-9509A5E1B7D1}"/>
    <cellStyle name="Normal 4 4 2 3 2 4 3 3" xfId="23771" xr:uid="{DF4496AD-9062-483E-B7C8-FE10CCB8C5A9}"/>
    <cellStyle name="Normal 4 4 2 3 2 4 4" xfId="11107" xr:uid="{5B26ED46-A77C-42EF-BBCD-DCA4CC7EC666}"/>
    <cellStyle name="Normal 4 4 2 3 2 4 5" xfId="19554" xr:uid="{35B32EC8-F2A4-4BCA-9ED8-389569CAA6AE}"/>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612BF2AF-0ADC-4402-89F4-B3BF51F61BC6}"/>
    <cellStyle name="Normal 4 4 2 3 2 5 2 2 3" xfId="26329" xr:uid="{C770FE31-C0D8-4618-B2FA-1E6C67CAD48C}"/>
    <cellStyle name="Normal 4 4 2 3 2 5 2 3" xfId="13665" xr:uid="{62DAF11B-DCCE-4D60-9BCA-8A4DB2EE6EB3}"/>
    <cellStyle name="Normal 4 4 2 3 2 5 2 4" xfId="22112" xr:uid="{80C79388-0882-4473-8FCB-C6C230132130}"/>
    <cellStyle name="Normal 4 4 2 3 2 5 3" xfId="6411" xr:uid="{00000000-0005-0000-0000-000027150000}"/>
    <cellStyle name="Normal 4 4 2 3 2 5 3 2" xfId="15737" xr:uid="{DF1C0FF9-7BB3-49D7-B5E2-7CD9254C497C}"/>
    <cellStyle name="Normal 4 4 2 3 2 5 3 3" xfId="24184" xr:uid="{1D628C1A-9ECC-44B1-A1F0-CF4C17DA2063}"/>
    <cellStyle name="Normal 4 4 2 3 2 5 4" xfId="11520" xr:uid="{E980FB8A-E5A5-41EE-8BE2-CFCAE96E7134}"/>
    <cellStyle name="Normal 4 4 2 3 2 5 5" xfId="19967" xr:uid="{FD7FD1DF-4A96-41F4-AEDB-19B2E721E28C}"/>
    <cellStyle name="Normal 4 4 2 3 2 6" xfId="2541" xr:uid="{00000000-0005-0000-0000-000028150000}"/>
    <cellStyle name="Normal 4 4 2 3 2 6 2" xfId="6824" xr:uid="{00000000-0005-0000-0000-000029150000}"/>
    <cellStyle name="Normal 4 4 2 3 2 6 2 2" xfId="16150" xr:uid="{7288C275-14B9-4A72-B696-463F8B0A62D0}"/>
    <cellStyle name="Normal 4 4 2 3 2 6 2 3" xfId="24597" xr:uid="{5B3F407C-4FEB-4F1C-BEB5-87A3468ABC14}"/>
    <cellStyle name="Normal 4 4 2 3 2 6 3" xfId="11933" xr:uid="{3E072B99-C4B9-45B1-BB38-DA1E34FA74E3}"/>
    <cellStyle name="Normal 4 4 2 3 2 6 4" xfId="20380" xr:uid="{2D3FD3CF-3138-45A6-B161-5510F12A2A70}"/>
    <cellStyle name="Normal 4 4 2 3 2 7" xfId="4759" xr:uid="{00000000-0005-0000-0000-00002A150000}"/>
    <cellStyle name="Normal 4 4 2 3 2 7 2" xfId="14085" xr:uid="{04DB2FAB-03C5-477D-8C8C-BA1E54CF9DE2}"/>
    <cellStyle name="Normal 4 4 2 3 2 7 3" xfId="22532" xr:uid="{448C3476-65B3-4D00-B17F-F72FE33F6787}"/>
    <cellStyle name="Normal 4 4 2 3 2 8" xfId="9091" xr:uid="{9DBAED0A-05EE-4674-B1B7-8D03DBB53301}"/>
    <cellStyle name="Normal 4 4 2 3 2 9" xfId="9868" xr:uid="{7E9DE504-B5AC-4D5B-B991-967F9396F03D}"/>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149FAC1F-DD7A-4749-9235-EC970D60DE59}"/>
    <cellStyle name="Normal 4 4 2 3 3 2 2 3" xfId="25089" xr:uid="{4BE63251-A135-4685-975A-EBA293950FE1}"/>
    <cellStyle name="Normal 4 4 2 3 3 2 3" xfId="12425" xr:uid="{F4BFC764-2208-4EAC-91A0-1EAB96E57F13}"/>
    <cellStyle name="Normal 4 4 2 3 3 2 4" xfId="20872" xr:uid="{120D8348-7429-4955-BB7F-C5C2C3FA814B}"/>
    <cellStyle name="Normal 4 4 2 3 3 3" xfId="5171" xr:uid="{00000000-0005-0000-0000-00002E150000}"/>
    <cellStyle name="Normal 4 4 2 3 3 3 2" xfId="14497" xr:uid="{9A82DA0C-D333-4A8C-A185-CFD938C6D183}"/>
    <cellStyle name="Normal 4 4 2 3 3 3 3" xfId="22944" xr:uid="{FAA1F5BF-A32F-402E-A5DB-551EA15E41A6}"/>
    <cellStyle name="Normal 4 4 2 3 3 4" xfId="9309" xr:uid="{73E912F6-92AF-449E-AE53-1DEDEF686C0F}"/>
    <cellStyle name="Normal 4 4 2 3 3 5" xfId="10280" xr:uid="{DC1C8563-30A6-4567-980E-3D9674F4AE72}"/>
    <cellStyle name="Normal 4 4 2 3 3 6" xfId="18727" xr:uid="{DE78AD3F-5D75-4815-A494-545510508723}"/>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C0E148A3-61F6-49E9-8FF5-722EEEAC003A}"/>
    <cellStyle name="Normal 4 4 2 3 4 2 2 3" xfId="25502" xr:uid="{0536B8FE-A59F-4B0E-9212-EED06A085B20}"/>
    <cellStyle name="Normal 4 4 2 3 4 2 3" xfId="12838" xr:uid="{58F64F9F-B63B-4FF3-A63E-43EF4339FAAA}"/>
    <cellStyle name="Normal 4 4 2 3 4 2 4" xfId="21285" xr:uid="{A4B79086-22F6-4C4B-B9ED-52A3C90FF9F8}"/>
    <cellStyle name="Normal 4 4 2 3 4 3" xfId="5584" xr:uid="{00000000-0005-0000-0000-000032150000}"/>
    <cellStyle name="Normal 4 4 2 3 4 3 2" xfId="14910" xr:uid="{1825F4EB-5D15-4C17-97C7-93BA680884C1}"/>
    <cellStyle name="Normal 4 4 2 3 4 3 3" xfId="23357" xr:uid="{A544AC2D-7E80-40D6-8FBC-2823BAFE94DA}"/>
    <cellStyle name="Normal 4 4 2 3 4 4" xfId="10693" xr:uid="{A854464B-0BC7-492F-AB49-4D8A5DE5183C}"/>
    <cellStyle name="Normal 4 4 2 3 4 5" xfId="19140" xr:uid="{AF6F138E-CBEC-48D3-A569-283C6F15069E}"/>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22D49C36-C23C-4059-A2B4-389BBD16244B}"/>
    <cellStyle name="Normal 4 4 2 3 5 2 2 3" xfId="25915" xr:uid="{EED3CF33-3665-4FFD-97C2-096C82B4FB7F}"/>
    <cellStyle name="Normal 4 4 2 3 5 2 3" xfId="13251" xr:uid="{3959C5CD-AFBD-4836-AB4F-2CCC4476EC53}"/>
    <cellStyle name="Normal 4 4 2 3 5 2 4" xfId="21698" xr:uid="{098C8F8E-C527-4D60-A1F4-359CED0B6A09}"/>
    <cellStyle name="Normal 4 4 2 3 5 3" xfId="5997" xr:uid="{00000000-0005-0000-0000-000036150000}"/>
    <cellStyle name="Normal 4 4 2 3 5 3 2" xfId="15323" xr:uid="{0A46B22D-C1E2-42CE-BC15-8A4A85391324}"/>
    <cellStyle name="Normal 4 4 2 3 5 3 3" xfId="23770" xr:uid="{5FAB1CC5-28F8-4382-8DE6-1A33B15627F0}"/>
    <cellStyle name="Normal 4 4 2 3 5 4" xfId="11106" xr:uid="{B4A7BBEB-57D7-4352-B22C-7B65C13E090F}"/>
    <cellStyle name="Normal 4 4 2 3 5 5" xfId="19553" xr:uid="{07C70131-A54D-4EE3-8F83-998290891155}"/>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FED2AFBB-E508-4765-93AE-191CEF742A4E}"/>
    <cellStyle name="Normal 4 4 2 3 6 2 2 3" xfId="26328" xr:uid="{26CD17FE-8C9B-4485-9C6B-36008C570CA8}"/>
    <cellStyle name="Normal 4 4 2 3 6 2 3" xfId="13664" xr:uid="{7795A51D-C756-427D-AEC4-49310C8AA7F7}"/>
    <cellStyle name="Normal 4 4 2 3 6 2 4" xfId="22111" xr:uid="{A8E3DDBF-A41C-43F1-AD87-1EDF18E53E4A}"/>
    <cellStyle name="Normal 4 4 2 3 6 3" xfId="6410" xr:uid="{00000000-0005-0000-0000-00003A150000}"/>
    <cellStyle name="Normal 4 4 2 3 6 3 2" xfId="15736" xr:uid="{8F226975-883F-4588-B855-BF253350D0F1}"/>
    <cellStyle name="Normal 4 4 2 3 6 3 3" xfId="24183" xr:uid="{7DE0F50A-B7F9-4430-9BB7-EBE8ACD95298}"/>
    <cellStyle name="Normal 4 4 2 3 6 4" xfId="11519" xr:uid="{33714C83-C7B1-47BC-ADDE-CB948CD0D7B4}"/>
    <cellStyle name="Normal 4 4 2 3 6 5" xfId="19966" xr:uid="{F4625817-9BD2-4B81-A176-74E6AF38618D}"/>
    <cellStyle name="Normal 4 4 2 3 7" xfId="2540" xr:uid="{00000000-0005-0000-0000-00003B150000}"/>
    <cellStyle name="Normal 4 4 2 3 7 2" xfId="6823" xr:uid="{00000000-0005-0000-0000-00003C150000}"/>
    <cellStyle name="Normal 4 4 2 3 7 2 2" xfId="16149" xr:uid="{022A3836-FEC0-4922-9DE2-701EE0A01E8F}"/>
    <cellStyle name="Normal 4 4 2 3 7 2 3" xfId="24596" xr:uid="{F54C7D19-C3C1-4BC1-8031-7012049434DD}"/>
    <cellStyle name="Normal 4 4 2 3 7 3" xfId="11932" xr:uid="{6DEE5F97-59C9-46DA-9E77-AF55F1883072}"/>
    <cellStyle name="Normal 4 4 2 3 7 4" xfId="20379" xr:uid="{7F80881C-6796-41C4-B5FC-6F3CF3AEE2DF}"/>
    <cellStyle name="Normal 4 4 2 3 8" xfId="4758" xr:uid="{00000000-0005-0000-0000-00003D150000}"/>
    <cellStyle name="Normal 4 4 2 3 8 2" xfId="14084" xr:uid="{FE1AC614-19CE-476C-B137-9517A1DEB0D4}"/>
    <cellStyle name="Normal 4 4 2 3 8 3" xfId="22531" xr:uid="{9FF644C1-86AF-488C-BF71-C275C47D7B25}"/>
    <cellStyle name="Normal 4 4 2 3 9" xfId="8884" xr:uid="{CBA8CCC0-D2E2-46C8-AC83-39734599F615}"/>
    <cellStyle name="Normal 4 4 2 4" xfId="386" xr:uid="{00000000-0005-0000-0000-00003E150000}"/>
    <cellStyle name="Normal 4 4 2 4 10" xfId="18316" xr:uid="{6B788BD8-79F8-45F5-852F-47A7A26BECAE}"/>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660AFF7B-5FA2-49FD-A169-5E1DC8FFA979}"/>
    <cellStyle name="Normal 4 4 2 4 2 2 2 3" xfId="25091" xr:uid="{9CEBBCEB-65C7-4962-945C-374EC94EE87A}"/>
    <cellStyle name="Normal 4 4 2 4 2 2 3" xfId="12427" xr:uid="{45599020-2E1B-47E4-95B5-94A19BB33C55}"/>
    <cellStyle name="Normal 4 4 2 4 2 2 4" xfId="20874" xr:uid="{B172C5A0-865B-457F-B18B-6BA6AC79B653}"/>
    <cellStyle name="Normal 4 4 2 4 2 3" xfId="5173" xr:uid="{00000000-0005-0000-0000-000042150000}"/>
    <cellStyle name="Normal 4 4 2 4 2 3 2" xfId="14499" xr:uid="{F5B5D7F4-D782-4635-8344-C2A1305B0A69}"/>
    <cellStyle name="Normal 4 4 2 4 2 3 3" xfId="22946" xr:uid="{118AD76E-ABF5-4AF4-A1FF-B2A647185A59}"/>
    <cellStyle name="Normal 4 4 2 4 2 4" xfId="9413" xr:uid="{4DC092EA-7C69-4E02-9FE8-33F62D070F54}"/>
    <cellStyle name="Normal 4 4 2 4 2 5" xfId="10282" xr:uid="{AF984CED-5438-4CA4-8FB0-5B44B5D43A0E}"/>
    <cellStyle name="Normal 4 4 2 4 2 6" xfId="18729" xr:uid="{6E039719-8061-4531-9039-6050C16C4E2F}"/>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779508FF-67CA-4F2F-9F8D-9A58D0A36FD4}"/>
    <cellStyle name="Normal 4 4 2 4 3 2 2 3" xfId="25504" xr:uid="{16E7B00F-1B47-4AB6-B1A5-CAEB78BA4CDA}"/>
    <cellStyle name="Normal 4 4 2 4 3 2 3" xfId="12840" xr:uid="{A92F5E65-808D-470E-AE42-0692B86AC32B}"/>
    <cellStyle name="Normal 4 4 2 4 3 2 4" xfId="21287" xr:uid="{022B6184-A135-4E2D-B5A3-EAD5272546C9}"/>
    <cellStyle name="Normal 4 4 2 4 3 3" xfId="5586" xr:uid="{00000000-0005-0000-0000-000046150000}"/>
    <cellStyle name="Normal 4 4 2 4 3 3 2" xfId="14912" xr:uid="{4B9B28DA-E18F-41C7-9472-47D261CBC244}"/>
    <cellStyle name="Normal 4 4 2 4 3 3 3" xfId="23359" xr:uid="{682A02A2-116E-4EDF-9E13-C6B01B78E824}"/>
    <cellStyle name="Normal 4 4 2 4 3 4" xfId="10695" xr:uid="{1DB2D9F6-CF24-4E15-83FE-15D1365743E1}"/>
    <cellStyle name="Normal 4 4 2 4 3 5" xfId="19142" xr:uid="{5750CF6A-5020-413F-A8E9-285947B084B0}"/>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E06FED17-C002-4B46-8A9A-F57E898133BA}"/>
    <cellStyle name="Normal 4 4 2 4 4 2 2 3" xfId="25917" xr:uid="{70EDBA86-ED44-4140-A2E9-16B17A081AA9}"/>
    <cellStyle name="Normal 4 4 2 4 4 2 3" xfId="13253" xr:uid="{8BFA27DF-A76F-4D67-9BA0-265E6C5150C8}"/>
    <cellStyle name="Normal 4 4 2 4 4 2 4" xfId="21700" xr:uid="{3B5E53C7-0C71-47D8-B8C9-801AFC5A59EB}"/>
    <cellStyle name="Normal 4 4 2 4 4 3" xfId="5999" xr:uid="{00000000-0005-0000-0000-00004A150000}"/>
    <cellStyle name="Normal 4 4 2 4 4 3 2" xfId="15325" xr:uid="{3D422877-63C2-4F3A-96B6-8BD1FB6814E4}"/>
    <cellStyle name="Normal 4 4 2 4 4 3 3" xfId="23772" xr:uid="{AA1448DB-5E31-4F69-BE3E-75646819D5BB}"/>
    <cellStyle name="Normal 4 4 2 4 4 4" xfId="11108" xr:uid="{39FE982D-8763-4E06-BBC9-DBEC21C3D9B9}"/>
    <cellStyle name="Normal 4 4 2 4 4 5" xfId="19555" xr:uid="{C5869A82-1FBF-4354-AA9A-0AB6F20C1C57}"/>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F0207B4D-9528-492D-874E-6F1ABDEF917C}"/>
    <cellStyle name="Normal 4 4 2 4 5 2 2 3" xfId="26330" xr:uid="{3D282A8A-60D1-4443-974D-686426470E4C}"/>
    <cellStyle name="Normal 4 4 2 4 5 2 3" xfId="13666" xr:uid="{48C61A27-1CEE-46D7-B5E0-55A2B0B7D4BD}"/>
    <cellStyle name="Normal 4 4 2 4 5 2 4" xfId="22113" xr:uid="{EE2D7D73-5E61-46AB-A36C-95C4FCD65DED}"/>
    <cellStyle name="Normal 4 4 2 4 5 3" xfId="6412" xr:uid="{00000000-0005-0000-0000-00004E150000}"/>
    <cellStyle name="Normal 4 4 2 4 5 3 2" xfId="15738" xr:uid="{B9E12C9F-EC26-4431-8F50-2A1FD97A12D1}"/>
    <cellStyle name="Normal 4 4 2 4 5 3 3" xfId="24185" xr:uid="{1113A86E-B344-4934-B835-69D6846577B4}"/>
    <cellStyle name="Normal 4 4 2 4 5 4" xfId="11521" xr:uid="{282BB7B9-2373-473C-BB8C-8239E49EF4CC}"/>
    <cellStyle name="Normal 4 4 2 4 5 5" xfId="19968" xr:uid="{FFEA1EEE-7E95-4B85-B3C4-462ACF8F4A57}"/>
    <cellStyle name="Normal 4 4 2 4 6" xfId="2542" xr:uid="{00000000-0005-0000-0000-00004F150000}"/>
    <cellStyle name="Normal 4 4 2 4 6 2" xfId="6825" xr:uid="{00000000-0005-0000-0000-000050150000}"/>
    <cellStyle name="Normal 4 4 2 4 6 2 2" xfId="16151" xr:uid="{C1F74A56-1C9D-4491-9D15-159F2472265C}"/>
    <cellStyle name="Normal 4 4 2 4 6 2 3" xfId="24598" xr:uid="{468A99D8-3517-4688-8099-01627D05361B}"/>
    <cellStyle name="Normal 4 4 2 4 6 3" xfId="11934" xr:uid="{77FBA9E4-1D81-440C-8FA6-58DF767FC0A6}"/>
    <cellStyle name="Normal 4 4 2 4 6 4" xfId="20381" xr:uid="{331EA32C-7103-493C-9CE0-4C7E82C2E214}"/>
    <cellStyle name="Normal 4 4 2 4 7" xfId="4760" xr:uid="{00000000-0005-0000-0000-000051150000}"/>
    <cellStyle name="Normal 4 4 2 4 7 2" xfId="14086" xr:uid="{FDB86DEC-11FF-4F98-87C6-BB4BB7E7D37D}"/>
    <cellStyle name="Normal 4 4 2 4 7 3" xfId="22533" xr:uid="{24502039-2058-471C-80CA-DEE59440A94A}"/>
    <cellStyle name="Normal 4 4 2 4 8" xfId="8988" xr:uid="{F852E7B0-7ACD-4401-B3B6-BE989A5C8AD5}"/>
    <cellStyle name="Normal 4 4 2 4 9" xfId="9869" xr:uid="{91425966-953E-437A-8058-1DC1A023B71C}"/>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083CF064-5D18-4ACF-AABE-8C4D73A579AF}"/>
    <cellStyle name="Normal 4 4 2 5 2 2 3" xfId="25084" xr:uid="{9B1EA478-1715-42CD-97AC-922B43579B8A}"/>
    <cellStyle name="Normal 4 4 2 5 2 3" xfId="12420" xr:uid="{5E40CA8D-ACB4-41C3-BD50-585F4EA3CE25}"/>
    <cellStyle name="Normal 4 4 2 5 2 4" xfId="20867" xr:uid="{3CE7B401-860F-4066-8F14-EE7CE550E040}"/>
    <cellStyle name="Normal 4 4 2 5 3" xfId="5166" xr:uid="{00000000-0005-0000-0000-000055150000}"/>
    <cellStyle name="Normal 4 4 2 5 3 2" xfId="14492" xr:uid="{EC779FA2-6915-4F9A-809B-1C5F2076C7B2}"/>
    <cellStyle name="Normal 4 4 2 5 3 3" xfId="22939" xr:uid="{C6A8FA38-7FF0-4F03-8942-B5FAC89A9FE0}"/>
    <cellStyle name="Normal 4 4 2 5 4" xfId="9205" xr:uid="{A63DE01D-3EC8-40FC-A47E-E0EA001EED52}"/>
    <cellStyle name="Normal 4 4 2 5 5" xfId="10275" xr:uid="{22813B0D-2DB1-4051-93F4-E2F1F9061009}"/>
    <cellStyle name="Normal 4 4 2 5 6" xfId="18722" xr:uid="{A4A367B9-C614-4655-86B5-C1C4E88F1E6F}"/>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608868B1-6A9F-4BEF-960B-9D79BB1E50E7}"/>
    <cellStyle name="Normal 4 4 2 6 2 2 3" xfId="25497" xr:uid="{8BFB0E59-225F-4A2D-8F64-DCD60B4E9CC3}"/>
    <cellStyle name="Normal 4 4 2 6 2 3" xfId="12833" xr:uid="{AD088640-9DBF-4078-A3DD-A0232FEDE06E}"/>
    <cellStyle name="Normal 4 4 2 6 2 4" xfId="21280" xr:uid="{39BF5EEA-3EDC-4D35-8AF3-375E4FF28CAF}"/>
    <cellStyle name="Normal 4 4 2 6 3" xfId="5579" xr:uid="{00000000-0005-0000-0000-000059150000}"/>
    <cellStyle name="Normal 4 4 2 6 3 2" xfId="14905" xr:uid="{E35D0EB2-6EA3-4AEE-9792-62C883310454}"/>
    <cellStyle name="Normal 4 4 2 6 3 3" xfId="23352" xr:uid="{0B76AC5C-0537-4D33-94B6-2847EAD4C770}"/>
    <cellStyle name="Normal 4 4 2 6 4" xfId="10688" xr:uid="{88EEC68C-5B3D-4B11-A2C3-80383ED6D6FE}"/>
    <cellStyle name="Normal 4 4 2 6 5" xfId="19135" xr:uid="{2EF0B6F9-7502-443E-B5AA-89B9689DB49D}"/>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FA7A0667-FF87-49E7-9184-F00290C05AD4}"/>
    <cellStyle name="Normal 4 4 2 7 2 2 3" xfId="25910" xr:uid="{6CDE3F80-D4FD-4644-99B1-0CEC95D4A243}"/>
    <cellStyle name="Normal 4 4 2 7 2 3" xfId="13246" xr:uid="{4547DC77-C9E5-43A4-854C-07CAD1C9DD61}"/>
    <cellStyle name="Normal 4 4 2 7 2 4" xfId="21693" xr:uid="{4EF59F78-2A3A-48B7-B723-D353D2CB47FB}"/>
    <cellStyle name="Normal 4 4 2 7 3" xfId="5992" xr:uid="{00000000-0005-0000-0000-00005D150000}"/>
    <cellStyle name="Normal 4 4 2 7 3 2" xfId="15318" xr:uid="{1AB447FF-A2DB-4E88-8711-85CAEE2EC720}"/>
    <cellStyle name="Normal 4 4 2 7 3 3" xfId="23765" xr:uid="{B6B4F2B5-1262-4F44-B9CC-D2066F4A4655}"/>
    <cellStyle name="Normal 4 4 2 7 4" xfId="11101" xr:uid="{4AF5F661-29F1-4E3F-BB79-D7130189257D}"/>
    <cellStyle name="Normal 4 4 2 7 5" xfId="19548" xr:uid="{BE5A5856-6895-407C-A8D0-9EE6195D4DD4}"/>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98E5AB26-0B16-41A0-AF7A-2083A78EB113}"/>
    <cellStyle name="Normal 4 4 2 8 2 2 3" xfId="26323" xr:uid="{64F9ED23-B86A-429A-B911-A5608D82280E}"/>
    <cellStyle name="Normal 4 4 2 8 2 3" xfId="13659" xr:uid="{0945B70C-3EF3-4806-8B0B-21AD52E048FB}"/>
    <cellStyle name="Normal 4 4 2 8 2 4" xfId="22106" xr:uid="{034F48FE-69D3-4DD3-916D-25E9A99A1B74}"/>
    <cellStyle name="Normal 4 4 2 8 3" xfId="6405" xr:uid="{00000000-0005-0000-0000-000061150000}"/>
    <cellStyle name="Normal 4 4 2 8 3 2" xfId="15731" xr:uid="{4F7A7F8E-B89A-471B-9A0F-11AE3C5D3190}"/>
    <cellStyle name="Normal 4 4 2 8 3 3" xfId="24178" xr:uid="{4765D1DC-23ED-490A-9607-C8D5D08A44FF}"/>
    <cellStyle name="Normal 4 4 2 8 4" xfId="11514" xr:uid="{80DD2CF3-48D5-4B17-82C5-C0C27944AF07}"/>
    <cellStyle name="Normal 4 4 2 8 5" xfId="19961" xr:uid="{976F9838-5F08-4DA2-8422-A14DD979E175}"/>
    <cellStyle name="Normal 4 4 2 9" xfId="2535" xr:uid="{00000000-0005-0000-0000-000062150000}"/>
    <cellStyle name="Normal 4 4 2 9 2" xfId="6818" xr:uid="{00000000-0005-0000-0000-000063150000}"/>
    <cellStyle name="Normal 4 4 2 9 2 2" xfId="16144" xr:uid="{DB590898-1EF3-4772-B065-995A909BB16A}"/>
    <cellStyle name="Normal 4 4 2 9 2 3" xfId="24591" xr:uid="{2B432C83-7A85-4883-98E7-720B9A726122}"/>
    <cellStyle name="Normal 4 4 2 9 3" xfId="11927" xr:uid="{CCC9B1C3-8CBC-4E91-9FD8-36A26910670C}"/>
    <cellStyle name="Normal 4 4 2 9 4" xfId="20374" xr:uid="{50D980BD-FEFB-452D-8F1F-D4DFC807E47F}"/>
    <cellStyle name="Normal 4 4 3" xfId="387" xr:uid="{00000000-0005-0000-0000-000064150000}"/>
    <cellStyle name="Normal 4 4 3 10" xfId="8823" xr:uid="{E623F102-F69B-4FD0-BEDA-A1480AF4D892}"/>
    <cellStyle name="Normal 4 4 3 11" xfId="9870" xr:uid="{FD383305-2F2A-48F9-8004-BFE0320EAA0B}"/>
    <cellStyle name="Normal 4 4 3 12" xfId="18317" xr:uid="{5718E7E2-AC4B-4BD3-A342-8B7C7C8685C1}"/>
    <cellStyle name="Normal 4 4 3 2" xfId="388" xr:uid="{00000000-0005-0000-0000-000065150000}"/>
    <cellStyle name="Normal 4 4 3 2 10" xfId="9871" xr:uid="{AF697AFF-EA94-4DF4-8079-E17FB08C581A}"/>
    <cellStyle name="Normal 4 4 3 2 11" xfId="18318" xr:uid="{F91C1850-07A9-497F-AF9F-71A478BE2B8A}"/>
    <cellStyle name="Normal 4 4 3 2 2" xfId="389" xr:uid="{00000000-0005-0000-0000-000066150000}"/>
    <cellStyle name="Normal 4 4 3 2 2 10" xfId="18319" xr:uid="{359C287A-2E55-4160-BDE7-3CE9F9395CB1}"/>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015E8093-3BCE-4C74-B0A9-B3DAF2971610}"/>
    <cellStyle name="Normal 4 4 3 2 2 2 2 2 3" xfId="25094" xr:uid="{D5AC6681-BA87-444A-B613-65ABC7BE7FCA}"/>
    <cellStyle name="Normal 4 4 3 2 2 2 2 3" xfId="12430" xr:uid="{D9C685C6-821B-46F9-B651-375F8DFB6044}"/>
    <cellStyle name="Normal 4 4 3 2 2 2 2 4" xfId="20877" xr:uid="{88721E65-84CC-404B-B579-25CD43748F7E}"/>
    <cellStyle name="Normal 4 4 3 2 2 2 3" xfId="5176" xr:uid="{00000000-0005-0000-0000-00006A150000}"/>
    <cellStyle name="Normal 4 4 3 2 2 2 3 2" xfId="14502" xr:uid="{FA3BE47B-C342-4FAD-99E3-86C219A267AE}"/>
    <cellStyle name="Normal 4 4 3 2 2 2 3 3" xfId="22949" xr:uid="{7F11C97B-5EC9-459C-9955-B062882CC0BC}"/>
    <cellStyle name="Normal 4 4 3 2 2 2 4" xfId="9558" xr:uid="{8C9519E6-5920-473D-9749-EC61E4877632}"/>
    <cellStyle name="Normal 4 4 3 2 2 2 5" xfId="10285" xr:uid="{A2EEA4FF-F05A-402C-B0CB-204C2EE75F6C}"/>
    <cellStyle name="Normal 4 4 3 2 2 2 6" xfId="18732" xr:uid="{18C574FA-867E-4939-9009-C02C3821998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57DFBB14-5023-4EA7-988A-9C0360F8E69F}"/>
    <cellStyle name="Normal 4 4 3 2 2 3 2 2 3" xfId="25507" xr:uid="{C3D3DF03-0C34-48D2-B2A4-35406E4BBF53}"/>
    <cellStyle name="Normal 4 4 3 2 2 3 2 3" xfId="12843" xr:uid="{88643C6A-FFFB-4350-B257-60E07A00E18D}"/>
    <cellStyle name="Normal 4 4 3 2 2 3 2 4" xfId="21290" xr:uid="{BE6F3BA9-9A40-4237-B0F7-407772CFC5BD}"/>
    <cellStyle name="Normal 4 4 3 2 2 3 3" xfId="5589" xr:uid="{00000000-0005-0000-0000-00006E150000}"/>
    <cellStyle name="Normal 4 4 3 2 2 3 3 2" xfId="14915" xr:uid="{60511621-B648-4246-835B-012EBB685C99}"/>
    <cellStyle name="Normal 4 4 3 2 2 3 3 3" xfId="23362" xr:uid="{2B0AB523-DA60-4247-BD8B-2D9EC2D4D601}"/>
    <cellStyle name="Normal 4 4 3 2 2 3 4" xfId="10698" xr:uid="{C236A030-A0D7-4F89-9CB9-EBB84F6358E7}"/>
    <cellStyle name="Normal 4 4 3 2 2 3 5" xfId="19145" xr:uid="{0550C9ED-C188-4FFB-81CF-BD24A293C267}"/>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8A00E597-E07B-4CBB-BA06-6B46F6B425B1}"/>
    <cellStyle name="Normal 4 4 3 2 2 4 2 2 3" xfId="25920" xr:uid="{F0284F29-2860-4939-A01D-DD317AB45B74}"/>
    <cellStyle name="Normal 4 4 3 2 2 4 2 3" xfId="13256" xr:uid="{38AEB57B-1520-432A-B232-C6F85CBD383B}"/>
    <cellStyle name="Normal 4 4 3 2 2 4 2 4" xfId="21703" xr:uid="{38CDF49E-50F0-465F-AD39-E1176878752C}"/>
    <cellStyle name="Normal 4 4 3 2 2 4 3" xfId="6002" xr:uid="{00000000-0005-0000-0000-000072150000}"/>
    <cellStyle name="Normal 4 4 3 2 2 4 3 2" xfId="15328" xr:uid="{D8ECFE83-F8AC-40FD-A6F8-1CA0E633B31A}"/>
    <cellStyle name="Normal 4 4 3 2 2 4 3 3" xfId="23775" xr:uid="{851AC5B2-28A3-4B35-A0D3-925CBFB850E4}"/>
    <cellStyle name="Normal 4 4 3 2 2 4 4" xfId="11111" xr:uid="{01E79BA0-4E74-40EF-AC14-629F65215310}"/>
    <cellStyle name="Normal 4 4 3 2 2 4 5" xfId="19558" xr:uid="{AFA9D841-B961-44F1-A6E0-CC286E22DEDB}"/>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74A48FD8-6F21-4973-9093-1CEFB53E1275}"/>
    <cellStyle name="Normal 4 4 3 2 2 5 2 2 3" xfId="26333" xr:uid="{55570AA4-D6C1-4CC7-A049-1F6A7023293E}"/>
    <cellStyle name="Normal 4 4 3 2 2 5 2 3" xfId="13669" xr:uid="{67FC686C-FD0A-4AD4-9CFE-AEBFC2BE1B0B}"/>
    <cellStyle name="Normal 4 4 3 2 2 5 2 4" xfId="22116" xr:uid="{9BCF7322-378E-4464-BD95-74F43F854363}"/>
    <cellStyle name="Normal 4 4 3 2 2 5 3" xfId="6415" xr:uid="{00000000-0005-0000-0000-000076150000}"/>
    <cellStyle name="Normal 4 4 3 2 2 5 3 2" xfId="15741" xr:uid="{54C5538E-D019-4BFD-98B6-7F8618F94ABE}"/>
    <cellStyle name="Normal 4 4 3 2 2 5 3 3" xfId="24188" xr:uid="{83BEDFCE-8205-4843-A559-26EA489DF609}"/>
    <cellStyle name="Normal 4 4 3 2 2 5 4" xfId="11524" xr:uid="{57CEB343-0C99-4306-A54E-F397FBFB0524}"/>
    <cellStyle name="Normal 4 4 3 2 2 5 5" xfId="19971" xr:uid="{D8B99B04-7664-454A-968A-F34F2749EB47}"/>
    <cellStyle name="Normal 4 4 3 2 2 6" xfId="2545" xr:uid="{00000000-0005-0000-0000-000077150000}"/>
    <cellStyle name="Normal 4 4 3 2 2 6 2" xfId="6828" xr:uid="{00000000-0005-0000-0000-000078150000}"/>
    <cellStyle name="Normal 4 4 3 2 2 6 2 2" xfId="16154" xr:uid="{0476236E-0954-47D9-A52A-4B5EF7BA0CE9}"/>
    <cellStyle name="Normal 4 4 3 2 2 6 2 3" xfId="24601" xr:uid="{2FC06E94-A665-4804-96E6-90A487CF61B2}"/>
    <cellStyle name="Normal 4 4 3 2 2 6 3" xfId="11937" xr:uid="{8A6CF091-41D0-4046-8F15-6394B1BD8CBC}"/>
    <cellStyle name="Normal 4 4 3 2 2 6 4" xfId="20384" xr:uid="{1592BEE0-B912-43CB-BD49-0B55CA26BE0D}"/>
    <cellStyle name="Normal 4 4 3 2 2 7" xfId="4763" xr:uid="{00000000-0005-0000-0000-000079150000}"/>
    <cellStyle name="Normal 4 4 3 2 2 7 2" xfId="14089" xr:uid="{A2C257E5-9A83-4054-9E58-0D1DD11F8DEF}"/>
    <cellStyle name="Normal 4 4 3 2 2 7 3" xfId="22536" xr:uid="{18C596AC-D919-4A6A-89BE-AC8FB9558350}"/>
    <cellStyle name="Normal 4 4 3 2 2 8" xfId="9133" xr:uid="{37002A66-D58A-4EF9-8D22-8F1A3EE99E08}"/>
    <cellStyle name="Normal 4 4 3 2 2 9" xfId="9872" xr:uid="{CA8E5D27-A87E-4BEF-B77F-4145BC8752F9}"/>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6027ADA2-9AF2-40AF-8215-7276BD72218B}"/>
    <cellStyle name="Normal 4 4 3 2 3 2 2 3" xfId="25093" xr:uid="{8D4A4343-EC90-42AE-A687-919E0FEB7A90}"/>
    <cellStyle name="Normal 4 4 3 2 3 2 3" xfId="12429" xr:uid="{FD254DBA-A839-4409-BE41-3654806B37C6}"/>
    <cellStyle name="Normal 4 4 3 2 3 2 4" xfId="20876" xr:uid="{0460C3A5-21D1-45CD-ABC7-2AA9ABE1B7B7}"/>
    <cellStyle name="Normal 4 4 3 2 3 3" xfId="5175" xr:uid="{00000000-0005-0000-0000-00007D150000}"/>
    <cellStyle name="Normal 4 4 3 2 3 3 2" xfId="14501" xr:uid="{4E7A81CC-7F93-4C38-8541-695F17532DD9}"/>
    <cellStyle name="Normal 4 4 3 2 3 3 3" xfId="22948" xr:uid="{3B234637-F6C2-49AE-AAE0-D41E25C34ADC}"/>
    <cellStyle name="Normal 4 4 3 2 3 4" xfId="9351" xr:uid="{51AD2B95-755A-411D-AA40-98381F5D8294}"/>
    <cellStyle name="Normal 4 4 3 2 3 5" xfId="10284" xr:uid="{FF538DC9-F27D-4F2F-9444-3CC33B130F17}"/>
    <cellStyle name="Normal 4 4 3 2 3 6" xfId="18731" xr:uid="{73B5714D-1E61-41DF-BA3F-C741CEE6C077}"/>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534A0983-6C2A-4C41-8271-0A8846BF3268}"/>
    <cellStyle name="Normal 4 4 3 2 4 2 2 3" xfId="25506" xr:uid="{60865058-89BA-4E63-BC88-F567594C80DD}"/>
    <cellStyle name="Normal 4 4 3 2 4 2 3" xfId="12842" xr:uid="{64EB3B93-C1DC-47B1-8408-4A00DE9D629C}"/>
    <cellStyle name="Normal 4 4 3 2 4 2 4" xfId="21289" xr:uid="{306FF92B-4459-4BAE-BD26-E212EFFEE00F}"/>
    <cellStyle name="Normal 4 4 3 2 4 3" xfId="5588" xr:uid="{00000000-0005-0000-0000-000081150000}"/>
    <cellStyle name="Normal 4 4 3 2 4 3 2" xfId="14914" xr:uid="{140E6184-BF49-42F9-B732-B0A046292F2F}"/>
    <cellStyle name="Normal 4 4 3 2 4 3 3" xfId="23361" xr:uid="{4BCC3C06-BAEC-400A-94A9-47F0EE1FB453}"/>
    <cellStyle name="Normal 4 4 3 2 4 4" xfId="10697" xr:uid="{962569F0-57F4-4E7F-9CD6-C3FAA56540AC}"/>
    <cellStyle name="Normal 4 4 3 2 4 5" xfId="19144" xr:uid="{AD7C76B4-244B-4121-9B33-D02B921A1432}"/>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4F02EDB3-F60C-432F-A12F-00D92F5A9CEF}"/>
    <cellStyle name="Normal 4 4 3 2 5 2 2 3" xfId="25919" xr:uid="{36907A58-3E47-419D-B54E-8F775F898BCC}"/>
    <cellStyle name="Normal 4 4 3 2 5 2 3" xfId="13255" xr:uid="{D327751D-C893-42E0-9FB4-A765C5A2254D}"/>
    <cellStyle name="Normal 4 4 3 2 5 2 4" xfId="21702" xr:uid="{7A854113-2F7F-4652-A1A5-E799AC656E25}"/>
    <cellStyle name="Normal 4 4 3 2 5 3" xfId="6001" xr:uid="{00000000-0005-0000-0000-000085150000}"/>
    <cellStyle name="Normal 4 4 3 2 5 3 2" xfId="15327" xr:uid="{F056D10A-31B4-46C6-B987-ECE1749B1B65}"/>
    <cellStyle name="Normal 4 4 3 2 5 3 3" xfId="23774" xr:uid="{709FD4A9-7D4F-4D1F-A036-3D64E1B61CC8}"/>
    <cellStyle name="Normal 4 4 3 2 5 4" xfId="11110" xr:uid="{D566198B-AEA9-499F-A46C-E48F9E862FAD}"/>
    <cellStyle name="Normal 4 4 3 2 5 5" xfId="19557" xr:uid="{9CEA4B8D-A07F-4893-9CE0-B853D2D63859}"/>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447DE0B9-35D4-4123-B403-2382BDCD83C2}"/>
    <cellStyle name="Normal 4 4 3 2 6 2 2 3" xfId="26332" xr:uid="{FBC0C703-115D-4CFF-85FF-FCA029560909}"/>
    <cellStyle name="Normal 4 4 3 2 6 2 3" xfId="13668" xr:uid="{9A730755-4A8D-462D-9B9B-7BF0353D5032}"/>
    <cellStyle name="Normal 4 4 3 2 6 2 4" xfId="22115" xr:uid="{AF446405-FBC8-460B-A96F-17F4FEDD1722}"/>
    <cellStyle name="Normal 4 4 3 2 6 3" xfId="6414" xr:uid="{00000000-0005-0000-0000-000089150000}"/>
    <cellStyle name="Normal 4 4 3 2 6 3 2" xfId="15740" xr:uid="{8AE75039-E298-4AE3-A520-1ADB89AF35F3}"/>
    <cellStyle name="Normal 4 4 3 2 6 3 3" xfId="24187" xr:uid="{5FF0A408-4E1F-41DF-91EB-CE055EB8647F}"/>
    <cellStyle name="Normal 4 4 3 2 6 4" xfId="11523" xr:uid="{255EADF5-2C45-481D-B403-2C3705EFC31C}"/>
    <cellStyle name="Normal 4 4 3 2 6 5" xfId="19970" xr:uid="{6EDF47DC-139A-4A32-83FC-CF5640979E04}"/>
    <cellStyle name="Normal 4 4 3 2 7" xfId="2544" xr:uid="{00000000-0005-0000-0000-00008A150000}"/>
    <cellStyle name="Normal 4 4 3 2 7 2" xfId="6827" xr:uid="{00000000-0005-0000-0000-00008B150000}"/>
    <cellStyle name="Normal 4 4 3 2 7 2 2" xfId="16153" xr:uid="{EEE355AC-14BE-41D2-B359-F9394CF3B14B}"/>
    <cellStyle name="Normal 4 4 3 2 7 2 3" xfId="24600" xr:uid="{E5DC98DF-474A-4C61-A7E8-C53E7CE09254}"/>
    <cellStyle name="Normal 4 4 3 2 7 3" xfId="11936" xr:uid="{EB97FF6B-0602-49F0-B461-76DC7AF807A0}"/>
    <cellStyle name="Normal 4 4 3 2 7 4" xfId="20383" xr:uid="{89F5F6FD-654F-4B59-A9AF-24E0522FA43E}"/>
    <cellStyle name="Normal 4 4 3 2 8" xfId="4762" xr:uid="{00000000-0005-0000-0000-00008C150000}"/>
    <cellStyle name="Normal 4 4 3 2 8 2" xfId="14088" xr:uid="{B25F877B-E338-4C39-BD9A-D64BFEA2C340}"/>
    <cellStyle name="Normal 4 4 3 2 8 3" xfId="22535" xr:uid="{1679E1E7-F3A4-4B30-B2EF-EA92921F2E21}"/>
    <cellStyle name="Normal 4 4 3 2 9" xfId="8926" xr:uid="{821D1F47-EF8D-4C64-BA70-5606A81A57B5}"/>
    <cellStyle name="Normal 4 4 3 3" xfId="390" xr:uid="{00000000-0005-0000-0000-00008D150000}"/>
    <cellStyle name="Normal 4 4 3 3 10" xfId="18320" xr:uid="{E4C0ECB4-2337-4F84-9FFD-3C55B5DD748A}"/>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51800BCF-1AF8-4AB8-9AE3-CE88E5374B0F}"/>
    <cellStyle name="Normal 4 4 3 3 2 2 2 3" xfId="25095" xr:uid="{44F7AC23-F7B7-4024-9C78-608C0DCB12D7}"/>
    <cellStyle name="Normal 4 4 3 3 2 2 3" xfId="12431" xr:uid="{70E972FB-9DD3-497C-80AB-AD05A7250298}"/>
    <cellStyle name="Normal 4 4 3 3 2 2 4" xfId="20878" xr:uid="{385B1F2C-50D2-4897-9424-EE4CDC6AFEDF}"/>
    <cellStyle name="Normal 4 4 3 3 2 3" xfId="5177" xr:uid="{00000000-0005-0000-0000-000091150000}"/>
    <cellStyle name="Normal 4 4 3 3 2 3 2" xfId="14503" xr:uid="{E632B2FB-1623-4060-9C94-F97BBC31797B}"/>
    <cellStyle name="Normal 4 4 3 3 2 3 3" xfId="22950" xr:uid="{5DBF7D0D-E665-4065-A32C-63AB65B5E14D}"/>
    <cellStyle name="Normal 4 4 3 3 2 4" xfId="9455" xr:uid="{E39EB3A2-D99A-426C-AFEC-E4C90C85BE02}"/>
    <cellStyle name="Normal 4 4 3 3 2 5" xfId="10286" xr:uid="{ABBE1DDD-23AA-45B9-BDDC-0896A898708D}"/>
    <cellStyle name="Normal 4 4 3 3 2 6" xfId="18733" xr:uid="{83A473CA-148A-4FB5-A5D7-13DFA976FEF1}"/>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CAF58323-CEF8-4B12-B22A-9CE71A3A4AF2}"/>
    <cellStyle name="Normal 4 4 3 3 3 2 2 3" xfId="25508" xr:uid="{2540BE18-E4D3-4085-9B1E-7E9FE3675C60}"/>
    <cellStyle name="Normal 4 4 3 3 3 2 3" xfId="12844" xr:uid="{2E551291-40E8-4F28-A953-7EEDBA896650}"/>
    <cellStyle name="Normal 4 4 3 3 3 2 4" xfId="21291" xr:uid="{3B944D91-D6AF-45B1-9097-D9926C023F9F}"/>
    <cellStyle name="Normal 4 4 3 3 3 3" xfId="5590" xr:uid="{00000000-0005-0000-0000-000095150000}"/>
    <cellStyle name="Normal 4 4 3 3 3 3 2" xfId="14916" xr:uid="{05724D3F-A633-4413-950D-D9FD0739819B}"/>
    <cellStyle name="Normal 4 4 3 3 3 3 3" xfId="23363" xr:uid="{4EA8EBA2-E012-4995-85C4-EF5E75BBF568}"/>
    <cellStyle name="Normal 4 4 3 3 3 4" xfId="10699" xr:uid="{8B126F41-CF1E-4040-AA25-06557C5BC34F}"/>
    <cellStyle name="Normal 4 4 3 3 3 5" xfId="19146" xr:uid="{A1E7E5C8-CC35-4510-8E49-26564D7EC8DF}"/>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2C6E01DB-820F-404D-9AAD-8B39AC4F70DD}"/>
    <cellStyle name="Normal 4 4 3 3 4 2 2 3" xfId="25921" xr:uid="{CBA1171F-3FBD-454E-A726-15CB44382DC1}"/>
    <cellStyle name="Normal 4 4 3 3 4 2 3" xfId="13257" xr:uid="{D02323F3-CE80-4BD1-89D8-A7D3D9B17DEB}"/>
    <cellStyle name="Normal 4 4 3 3 4 2 4" xfId="21704" xr:uid="{3AE5A7D3-BC6D-4B68-BA24-30773A6314A3}"/>
    <cellStyle name="Normal 4 4 3 3 4 3" xfId="6003" xr:uid="{00000000-0005-0000-0000-000099150000}"/>
    <cellStyle name="Normal 4 4 3 3 4 3 2" xfId="15329" xr:uid="{A8890409-928F-4983-A51D-1D7224FF1182}"/>
    <cellStyle name="Normal 4 4 3 3 4 3 3" xfId="23776" xr:uid="{2627FD9E-C772-4203-AB46-A583CA7F4706}"/>
    <cellStyle name="Normal 4 4 3 3 4 4" xfId="11112" xr:uid="{47A8DD4F-FF65-4625-8ECD-9B8D19869FA4}"/>
    <cellStyle name="Normal 4 4 3 3 4 5" xfId="19559" xr:uid="{3E1D5069-2E06-400F-B8FD-E337C83B6CBF}"/>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29E042D4-BC0A-429F-A8AE-716BDF6C6A8A}"/>
    <cellStyle name="Normal 4 4 3 3 5 2 2 3" xfId="26334" xr:uid="{E5A61008-5400-4C7A-B38F-89A384670F33}"/>
    <cellStyle name="Normal 4 4 3 3 5 2 3" xfId="13670" xr:uid="{EB275803-DE81-4A1B-90B4-E4559970454C}"/>
    <cellStyle name="Normal 4 4 3 3 5 2 4" xfId="22117" xr:uid="{9FAD9D6F-1CE8-48A1-855A-E91B78FA8611}"/>
    <cellStyle name="Normal 4 4 3 3 5 3" xfId="6416" xr:uid="{00000000-0005-0000-0000-00009D150000}"/>
    <cellStyle name="Normal 4 4 3 3 5 3 2" xfId="15742" xr:uid="{0226D7B6-686F-4CA2-84C4-657AECCE94EB}"/>
    <cellStyle name="Normal 4 4 3 3 5 3 3" xfId="24189" xr:uid="{AFA83A10-DCBC-4560-BA92-BC932ACA8992}"/>
    <cellStyle name="Normal 4 4 3 3 5 4" xfId="11525" xr:uid="{3989F839-5475-4AC6-8FF3-0D92F9C8F509}"/>
    <cellStyle name="Normal 4 4 3 3 5 5" xfId="19972" xr:uid="{BF10DE89-39BB-42C7-9DBB-DB417B4F3214}"/>
    <cellStyle name="Normal 4 4 3 3 6" xfId="2546" xr:uid="{00000000-0005-0000-0000-00009E150000}"/>
    <cellStyle name="Normal 4 4 3 3 6 2" xfId="6829" xr:uid="{00000000-0005-0000-0000-00009F150000}"/>
    <cellStyle name="Normal 4 4 3 3 6 2 2" xfId="16155" xr:uid="{40689275-ECC6-466D-98D9-34456DF6804E}"/>
    <cellStyle name="Normal 4 4 3 3 6 2 3" xfId="24602" xr:uid="{B9F8ADF3-158D-4E8F-88F9-410B3B1B493D}"/>
    <cellStyle name="Normal 4 4 3 3 6 3" xfId="11938" xr:uid="{B9B7C1F0-5CF5-4E4B-AF4D-3B8865AD90AE}"/>
    <cellStyle name="Normal 4 4 3 3 6 4" xfId="20385" xr:uid="{816452A2-9576-4AAB-8277-79A48683083F}"/>
    <cellStyle name="Normal 4 4 3 3 7" xfId="4764" xr:uid="{00000000-0005-0000-0000-0000A0150000}"/>
    <cellStyle name="Normal 4 4 3 3 7 2" xfId="14090" xr:uid="{2F17224A-FDEC-41B5-8C3F-DD06BA478E18}"/>
    <cellStyle name="Normal 4 4 3 3 7 3" xfId="22537" xr:uid="{6F55D5EF-46AA-4D69-8EDC-F806882578DC}"/>
    <cellStyle name="Normal 4 4 3 3 8" xfId="9030" xr:uid="{F975DAAD-4546-4770-9976-5C5C66DA227B}"/>
    <cellStyle name="Normal 4 4 3 3 9" xfId="9873" xr:uid="{4F95E6F0-CB7A-4240-8B53-F723380A83B5}"/>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7201B6AB-6C27-4F2F-B110-FD2A6945829E}"/>
    <cellStyle name="Normal 4 4 3 4 2 2 3" xfId="25092" xr:uid="{66601AA2-28B8-487F-BC41-0EC40605775C}"/>
    <cellStyle name="Normal 4 4 3 4 2 3" xfId="12428" xr:uid="{1290CC45-99A5-4098-9E67-AAD9763035B2}"/>
    <cellStyle name="Normal 4 4 3 4 2 4" xfId="20875" xr:uid="{FFBBFD16-339A-459B-8E7C-123A0959FC9F}"/>
    <cellStyle name="Normal 4 4 3 4 3" xfId="5174" xr:uid="{00000000-0005-0000-0000-0000A4150000}"/>
    <cellStyle name="Normal 4 4 3 4 3 2" xfId="14500" xr:uid="{A5810A84-7EDE-4B66-8B25-C11B28052F89}"/>
    <cellStyle name="Normal 4 4 3 4 3 3" xfId="22947" xr:uid="{F4D7978A-4173-4108-BD10-C9D3FCD97413}"/>
    <cellStyle name="Normal 4 4 3 4 4" xfId="9248" xr:uid="{6C5F877B-48E6-47C2-B849-E53F373D5A86}"/>
    <cellStyle name="Normal 4 4 3 4 5" xfId="10283" xr:uid="{28C44B1D-C999-4BF5-9A63-E91827F569E5}"/>
    <cellStyle name="Normal 4 4 3 4 6" xfId="18730" xr:uid="{CCAB70A5-5146-4557-A007-1B17FF789359}"/>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A6E989AA-E3E0-4D78-885F-098C404E34BB}"/>
    <cellStyle name="Normal 4 4 3 5 2 2 3" xfId="25505" xr:uid="{14016948-B23F-4BC0-A00B-30F3CD7B7CFC}"/>
    <cellStyle name="Normal 4 4 3 5 2 3" xfId="12841" xr:uid="{3C777889-5E34-4AE1-8484-B1150D66EDC5}"/>
    <cellStyle name="Normal 4 4 3 5 2 4" xfId="21288" xr:uid="{36DF8E12-D507-4B91-A86A-2C064B4E496A}"/>
    <cellStyle name="Normal 4 4 3 5 3" xfId="5587" xr:uid="{00000000-0005-0000-0000-0000A8150000}"/>
    <cellStyle name="Normal 4 4 3 5 3 2" xfId="14913" xr:uid="{0A263707-A7EC-41BA-91B7-CD70B7892717}"/>
    <cellStyle name="Normal 4 4 3 5 3 3" xfId="23360" xr:uid="{FDD5E31B-D9CF-4C0E-B459-7A0F8886A584}"/>
    <cellStyle name="Normal 4 4 3 5 4" xfId="10696" xr:uid="{EF24A30C-F793-4B80-9F34-0E22AA5E8F45}"/>
    <cellStyle name="Normal 4 4 3 5 5" xfId="19143" xr:uid="{33FB77B4-E942-4783-9713-6A4A9C127F94}"/>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76B1D976-4BD5-4DB9-9405-165B2FFD8EB5}"/>
    <cellStyle name="Normal 4 4 3 6 2 2 3" xfId="25918" xr:uid="{662910DA-8FDD-4D22-8DE8-5971A79C7B68}"/>
    <cellStyle name="Normal 4 4 3 6 2 3" xfId="13254" xr:uid="{4BBB2368-AD1C-4483-8EAF-754CE9470D7C}"/>
    <cellStyle name="Normal 4 4 3 6 2 4" xfId="21701" xr:uid="{9BB6FC59-C177-4932-8E90-62A1F59F6B36}"/>
    <cellStyle name="Normal 4 4 3 6 3" xfId="6000" xr:uid="{00000000-0005-0000-0000-0000AC150000}"/>
    <cellStyle name="Normal 4 4 3 6 3 2" xfId="15326" xr:uid="{C7DD2BFE-C311-4639-9CFD-84B9EDF2EB51}"/>
    <cellStyle name="Normal 4 4 3 6 3 3" xfId="23773" xr:uid="{C023D40B-C675-477E-8859-FF341242C146}"/>
    <cellStyle name="Normal 4 4 3 6 4" xfId="11109" xr:uid="{DA3BCA40-8B1D-4889-A92C-1B16BC417F2E}"/>
    <cellStyle name="Normal 4 4 3 6 5" xfId="19556" xr:uid="{5318C5C8-D24F-4E3B-9E69-004A8A699FEC}"/>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7BA4403C-58DC-43FC-88D4-EAD433BD5EAF}"/>
    <cellStyle name="Normal 4 4 3 7 2 2 3" xfId="26331" xr:uid="{854FDF39-C8B2-4451-B959-998EFA5F6F0A}"/>
    <cellStyle name="Normal 4 4 3 7 2 3" xfId="13667" xr:uid="{83A99013-4676-491E-AB1D-8CB153C41687}"/>
    <cellStyle name="Normal 4 4 3 7 2 4" xfId="22114" xr:uid="{2FF897C5-4205-41D4-A48F-ACB8C4B47D01}"/>
    <cellStyle name="Normal 4 4 3 7 3" xfId="6413" xr:uid="{00000000-0005-0000-0000-0000B0150000}"/>
    <cellStyle name="Normal 4 4 3 7 3 2" xfId="15739" xr:uid="{79A49E8F-2D19-41C3-B244-1AC37C3B3AF9}"/>
    <cellStyle name="Normal 4 4 3 7 3 3" xfId="24186" xr:uid="{D69B660E-4C6A-4C82-8F53-738CAC9D672A}"/>
    <cellStyle name="Normal 4 4 3 7 4" xfId="11522" xr:uid="{3E62D55C-8E2E-47FC-BCEA-1CB43F1B7FDA}"/>
    <cellStyle name="Normal 4 4 3 7 5" xfId="19969" xr:uid="{D15C2A70-97AF-43D2-93D4-820F4F80BAD0}"/>
    <cellStyle name="Normal 4 4 3 8" xfId="2543" xr:uid="{00000000-0005-0000-0000-0000B1150000}"/>
    <cellStyle name="Normal 4 4 3 8 2" xfId="6826" xr:uid="{00000000-0005-0000-0000-0000B2150000}"/>
    <cellStyle name="Normal 4 4 3 8 2 2" xfId="16152" xr:uid="{8B9854F9-29A7-41E3-B0D7-6A6CC194A947}"/>
    <cellStyle name="Normal 4 4 3 8 2 3" xfId="24599" xr:uid="{9BB1C748-6893-4495-A9D5-21EB6548377B}"/>
    <cellStyle name="Normal 4 4 3 8 3" xfId="11935" xr:uid="{F4F2DF49-9DAC-4BC5-82A8-4F5D7D593414}"/>
    <cellStyle name="Normal 4 4 3 8 4" xfId="20382" xr:uid="{55068E06-4DE7-4421-99B8-457B4201E38C}"/>
    <cellStyle name="Normal 4 4 3 9" xfId="4761" xr:uid="{00000000-0005-0000-0000-0000B3150000}"/>
    <cellStyle name="Normal 4 4 3 9 2" xfId="14087" xr:uid="{D9E82ABA-6ADD-4EDF-B296-48837F214BE7}"/>
    <cellStyle name="Normal 4 4 3 9 3" xfId="22534" xr:uid="{41A85BBB-E6A7-4CDB-BC2C-C56249049C26}"/>
    <cellStyle name="Normal 4 4 4" xfId="391" xr:uid="{00000000-0005-0000-0000-0000B4150000}"/>
    <cellStyle name="Normal 4 4 4 10" xfId="9874" xr:uid="{26D0F2A9-D571-484E-B91C-CF1BF42E7E53}"/>
    <cellStyle name="Normal 4 4 4 11" xfId="18321" xr:uid="{B2D0162B-A1F4-4201-92E3-D8AD65509AA5}"/>
    <cellStyle name="Normal 4 4 4 2" xfId="392" xr:uid="{00000000-0005-0000-0000-0000B5150000}"/>
    <cellStyle name="Normal 4 4 4 2 10" xfId="18322" xr:uid="{BC63DF69-CF0A-4DCB-8B26-B4BB28D3B42F}"/>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C45C3049-BE31-41E4-A641-0BA15C6A6A42}"/>
    <cellStyle name="Normal 4 4 4 2 2 2 2 3" xfId="25097" xr:uid="{11D917F2-D707-4C70-9EC0-F6A8D6A836B5}"/>
    <cellStyle name="Normal 4 4 4 2 2 2 3" xfId="12433" xr:uid="{40585C44-C56E-4E8C-8FC3-D9E55BB72EA3}"/>
    <cellStyle name="Normal 4 4 4 2 2 2 4" xfId="20880" xr:uid="{4123A2F6-833B-4AD8-8E08-FB66BE632589}"/>
    <cellStyle name="Normal 4 4 4 2 2 3" xfId="5179" xr:uid="{00000000-0005-0000-0000-0000B9150000}"/>
    <cellStyle name="Normal 4 4 4 2 2 3 2" xfId="14505" xr:uid="{919B000B-4885-4F66-81CD-250BCA6C68D1}"/>
    <cellStyle name="Normal 4 4 4 2 2 3 3" xfId="22952" xr:uid="{F600AD4D-7A41-46E2-96E2-00342E5EB0E6}"/>
    <cellStyle name="Normal 4 4 4 2 2 4" xfId="9484" xr:uid="{69910E0C-08C8-41C5-A6FC-61B52F6CD538}"/>
    <cellStyle name="Normal 4 4 4 2 2 5" xfId="10288" xr:uid="{22E04A7D-F645-4E5A-8D19-AA493CC73C5F}"/>
    <cellStyle name="Normal 4 4 4 2 2 6" xfId="18735" xr:uid="{4B68F370-CB5E-4F03-862D-0EC39867DE6F}"/>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A083D930-AB82-4167-9D63-CF2A39AC17DA}"/>
    <cellStyle name="Normal 4 4 4 2 3 2 2 3" xfId="25510" xr:uid="{AFA94B3D-E1B6-4132-9E4B-51A0C427F81F}"/>
    <cellStyle name="Normal 4 4 4 2 3 2 3" xfId="12846" xr:uid="{CB3FD834-8CFD-43BA-A92A-8197F19541D8}"/>
    <cellStyle name="Normal 4 4 4 2 3 2 4" xfId="21293" xr:uid="{32747CD1-2419-4864-9AC9-6E75643B767B}"/>
    <cellStyle name="Normal 4 4 4 2 3 3" xfId="5592" xr:uid="{00000000-0005-0000-0000-0000BD150000}"/>
    <cellStyle name="Normal 4 4 4 2 3 3 2" xfId="14918" xr:uid="{65BDABCF-C151-46FF-A84B-EA3115E836C2}"/>
    <cellStyle name="Normal 4 4 4 2 3 3 3" xfId="23365" xr:uid="{E13AB41F-24DB-4A60-948A-A6A6F604C59A}"/>
    <cellStyle name="Normal 4 4 4 2 3 4" xfId="10701" xr:uid="{EB75F660-75D1-401C-A953-0EF9BEE09ECA}"/>
    <cellStyle name="Normal 4 4 4 2 3 5" xfId="19148" xr:uid="{6F4E9EB0-E950-4DFD-909F-B42F99639FE7}"/>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CF547F07-6D2A-4045-8316-ECDF62EE2CB0}"/>
    <cellStyle name="Normal 4 4 4 2 4 2 2 3" xfId="25923" xr:uid="{F04505CE-FFF2-468C-A7E6-01A3C50D889E}"/>
    <cellStyle name="Normal 4 4 4 2 4 2 3" xfId="13259" xr:uid="{F0A90335-5D53-4426-9A6F-E0CF3D639006}"/>
    <cellStyle name="Normal 4 4 4 2 4 2 4" xfId="21706" xr:uid="{5360E021-B7C1-43BB-948A-8499E87E8C1D}"/>
    <cellStyle name="Normal 4 4 4 2 4 3" xfId="6005" xr:uid="{00000000-0005-0000-0000-0000C1150000}"/>
    <cellStyle name="Normal 4 4 4 2 4 3 2" xfId="15331" xr:uid="{8C2644A2-CB96-4046-B31D-9A8374666546}"/>
    <cellStyle name="Normal 4 4 4 2 4 3 3" xfId="23778" xr:uid="{0DECC59F-C56D-4529-B09A-4A7DCB4D604F}"/>
    <cellStyle name="Normal 4 4 4 2 4 4" xfId="11114" xr:uid="{7345635A-DDD8-40FA-B3BC-BD7284B14E51}"/>
    <cellStyle name="Normal 4 4 4 2 4 5" xfId="19561" xr:uid="{A8D6C54C-D820-443C-B503-7BAD3D1B653F}"/>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E27A4998-01E4-426F-813D-2B2855F23BEC}"/>
    <cellStyle name="Normal 4 4 4 2 5 2 2 3" xfId="26336" xr:uid="{2FFB6596-C3F2-472E-896F-6FFB4D6D9B80}"/>
    <cellStyle name="Normal 4 4 4 2 5 2 3" xfId="13672" xr:uid="{2C47E5BE-6BF7-4359-86E3-8DE786462F56}"/>
    <cellStyle name="Normal 4 4 4 2 5 2 4" xfId="22119" xr:uid="{52915949-F5BD-4560-B0D7-04675FEA5775}"/>
    <cellStyle name="Normal 4 4 4 2 5 3" xfId="6418" xr:uid="{00000000-0005-0000-0000-0000C5150000}"/>
    <cellStyle name="Normal 4 4 4 2 5 3 2" xfId="15744" xr:uid="{25F4A71A-4C2E-4072-92C0-A64ED1317C2A}"/>
    <cellStyle name="Normal 4 4 4 2 5 3 3" xfId="24191" xr:uid="{8F22C5B4-F402-4A77-8A04-81005B2CD008}"/>
    <cellStyle name="Normal 4 4 4 2 5 4" xfId="11527" xr:uid="{717A9E33-3179-474C-B605-947F6F76862B}"/>
    <cellStyle name="Normal 4 4 4 2 5 5" xfId="19974" xr:uid="{4F36EBF5-6CAB-404E-8E58-23B32D809F53}"/>
    <cellStyle name="Normal 4 4 4 2 6" xfId="2548" xr:uid="{00000000-0005-0000-0000-0000C6150000}"/>
    <cellStyle name="Normal 4 4 4 2 6 2" xfId="6831" xr:uid="{00000000-0005-0000-0000-0000C7150000}"/>
    <cellStyle name="Normal 4 4 4 2 6 2 2" xfId="16157" xr:uid="{3D4FB0BD-E9F9-44FF-B361-06C863F19A7B}"/>
    <cellStyle name="Normal 4 4 4 2 6 2 3" xfId="24604" xr:uid="{A4E0E869-74A6-4C0E-8E58-5BD31435B15C}"/>
    <cellStyle name="Normal 4 4 4 2 6 3" xfId="11940" xr:uid="{689A66E3-5705-4E1A-8410-A2F4D49AD82E}"/>
    <cellStyle name="Normal 4 4 4 2 6 4" xfId="20387" xr:uid="{F2629618-03FD-4432-9868-C2E39D803C37}"/>
    <cellStyle name="Normal 4 4 4 2 7" xfId="4766" xr:uid="{00000000-0005-0000-0000-0000C8150000}"/>
    <cellStyle name="Normal 4 4 4 2 7 2" xfId="14092" xr:uid="{983D69EB-FCB7-474C-A5A3-34246E9189B2}"/>
    <cellStyle name="Normal 4 4 4 2 7 3" xfId="22539" xr:uid="{5E06915D-F250-4BA6-B72A-C1D2D8DC5020}"/>
    <cellStyle name="Normal 4 4 4 2 8" xfId="9059" xr:uid="{76617FCA-DBA6-4291-BD32-6340A19903F7}"/>
    <cellStyle name="Normal 4 4 4 2 9" xfId="9875" xr:uid="{3ADF4ED2-153D-452F-AE33-A2DCC980A5A0}"/>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3D739B2A-0BE0-4573-A9A2-3A0CF6D42E7A}"/>
    <cellStyle name="Normal 4 4 4 3 2 2 3" xfId="25096" xr:uid="{FDF83C53-248F-4ACF-BD4D-ECE7F9803F0E}"/>
    <cellStyle name="Normal 4 4 4 3 2 3" xfId="12432" xr:uid="{8BF9A294-085A-48D3-81AD-EEB6D5F4460A}"/>
    <cellStyle name="Normal 4 4 4 3 2 4" xfId="20879" xr:uid="{DCC80DEC-5227-443C-B47E-010865E43640}"/>
    <cellStyle name="Normal 4 4 4 3 3" xfId="5178" xr:uid="{00000000-0005-0000-0000-0000CC150000}"/>
    <cellStyle name="Normal 4 4 4 3 3 2" xfId="14504" xr:uid="{0FB09D34-5C6A-444A-9467-D1CD95A801D8}"/>
    <cellStyle name="Normal 4 4 4 3 3 3" xfId="22951" xr:uid="{EEE2F874-E501-4AB6-91A5-6B4854A12997}"/>
    <cellStyle name="Normal 4 4 4 3 4" xfId="9277" xr:uid="{DD01CD29-2559-4BCC-919C-99D1D75C445F}"/>
    <cellStyle name="Normal 4 4 4 3 5" xfId="10287" xr:uid="{3BF13AAC-D813-480E-9505-D2CEE2EB6136}"/>
    <cellStyle name="Normal 4 4 4 3 6" xfId="18734" xr:uid="{739A76D5-4F4E-4B88-9B8C-CF54FD7762C2}"/>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6D2068E2-3954-4D85-AE4B-C2BD371A8ECE}"/>
    <cellStyle name="Normal 4 4 4 4 2 2 3" xfId="25509" xr:uid="{C1F9DE73-8C07-47FE-BA53-2D00662F641C}"/>
    <cellStyle name="Normal 4 4 4 4 2 3" xfId="12845" xr:uid="{CB67FF1D-A47B-4B52-BD52-0E7542638EFA}"/>
    <cellStyle name="Normal 4 4 4 4 2 4" xfId="21292" xr:uid="{506D9022-1678-4D1D-9A48-762836C0EBD3}"/>
    <cellStyle name="Normal 4 4 4 4 3" xfId="5591" xr:uid="{00000000-0005-0000-0000-0000D0150000}"/>
    <cellStyle name="Normal 4 4 4 4 3 2" xfId="14917" xr:uid="{1B008620-6438-433A-8EE9-23DEA0BCE22F}"/>
    <cellStyle name="Normal 4 4 4 4 3 3" xfId="23364" xr:uid="{8CD6C918-DE3B-482D-AF27-6B208235ECCB}"/>
    <cellStyle name="Normal 4 4 4 4 4" xfId="10700" xr:uid="{164BDB1F-A8A3-460D-8B9A-C9867C2E6A0F}"/>
    <cellStyle name="Normal 4 4 4 4 5" xfId="19147" xr:uid="{7C51017E-3B8B-402F-AD54-E9FBD8E29C4A}"/>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E4E56B96-1E30-41D4-841E-9BA7844DE7C9}"/>
    <cellStyle name="Normal 4 4 4 5 2 2 3" xfId="25922" xr:uid="{01398749-569C-4D1C-A453-D9CF7F889E5E}"/>
    <cellStyle name="Normal 4 4 4 5 2 3" xfId="13258" xr:uid="{E676A0B6-B495-4FC5-8805-ACD837774CA8}"/>
    <cellStyle name="Normal 4 4 4 5 2 4" xfId="21705" xr:uid="{D44FBE24-F3F3-4130-A795-0AF78D8BBCB8}"/>
    <cellStyle name="Normal 4 4 4 5 3" xfId="6004" xr:uid="{00000000-0005-0000-0000-0000D4150000}"/>
    <cellStyle name="Normal 4 4 4 5 3 2" xfId="15330" xr:uid="{0E2818C6-6FAB-44D7-8839-9CD7081F9E9E}"/>
    <cellStyle name="Normal 4 4 4 5 3 3" xfId="23777" xr:uid="{94221FE6-A3E2-4E70-88FB-313DBA1EFB02}"/>
    <cellStyle name="Normal 4 4 4 5 4" xfId="11113" xr:uid="{73AB6EFD-7D1B-46CD-BABA-469626E812F5}"/>
    <cellStyle name="Normal 4 4 4 5 5" xfId="19560" xr:uid="{344DFB5D-E2C4-4985-9FFF-7FC94F51B3A7}"/>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5FB27E34-6D6B-4CEB-A736-022BDBE5E854}"/>
    <cellStyle name="Normal 4 4 4 6 2 2 3" xfId="26335" xr:uid="{84B498B9-9ED3-449B-81C5-C0A0B0B93095}"/>
    <cellStyle name="Normal 4 4 4 6 2 3" xfId="13671" xr:uid="{6D8B6BA7-9E8E-4EA0-99A2-8C0A23EB7075}"/>
    <cellStyle name="Normal 4 4 4 6 2 4" xfId="22118" xr:uid="{9E9A5024-72FA-4C6E-9461-D44C749A3EC6}"/>
    <cellStyle name="Normal 4 4 4 6 3" xfId="6417" xr:uid="{00000000-0005-0000-0000-0000D8150000}"/>
    <cellStyle name="Normal 4 4 4 6 3 2" xfId="15743" xr:uid="{B853CF11-A230-4A75-A46D-8F26466E0BE5}"/>
    <cellStyle name="Normal 4 4 4 6 3 3" xfId="24190" xr:uid="{72881877-DC2C-47D7-B309-9CF2EC7DA880}"/>
    <cellStyle name="Normal 4 4 4 6 4" xfId="11526" xr:uid="{9523643B-48BB-429E-A6FA-092F92E7D1F4}"/>
    <cellStyle name="Normal 4 4 4 6 5" xfId="19973" xr:uid="{84A88C13-3C86-41DF-91AB-68BF5F9A6DB1}"/>
    <cellStyle name="Normal 4 4 4 7" xfId="2547" xr:uid="{00000000-0005-0000-0000-0000D9150000}"/>
    <cellStyle name="Normal 4 4 4 7 2" xfId="6830" xr:uid="{00000000-0005-0000-0000-0000DA150000}"/>
    <cellStyle name="Normal 4 4 4 7 2 2" xfId="16156" xr:uid="{A080A90E-AE56-45BC-9513-4A3B71C70002}"/>
    <cellStyle name="Normal 4 4 4 7 2 3" xfId="24603" xr:uid="{6387FCE2-E37C-4025-BCB3-D9E3F27DE291}"/>
    <cellStyle name="Normal 4 4 4 7 3" xfId="11939" xr:uid="{7E12D6FE-6E90-4042-B504-7C2C8C32DA3E}"/>
    <cellStyle name="Normal 4 4 4 7 4" xfId="20386" xr:uid="{5795B3C6-29A0-40EF-ADF1-11AEA6B92293}"/>
    <cellStyle name="Normal 4 4 4 8" xfId="4765" xr:uid="{00000000-0005-0000-0000-0000DB150000}"/>
    <cellStyle name="Normal 4 4 4 8 2" xfId="14091" xr:uid="{3791FF29-47EA-4BD0-8FAB-00626411FA0C}"/>
    <cellStyle name="Normal 4 4 4 8 3" xfId="22538" xr:uid="{4749ABB7-B195-42B9-87E6-FDC6475A85C1}"/>
    <cellStyle name="Normal 4 4 4 9" xfId="8852" xr:uid="{DF4BB962-85B1-44B5-A0FE-735796672772}"/>
    <cellStyle name="Normal 4 4 5" xfId="393" xr:uid="{00000000-0005-0000-0000-0000DC150000}"/>
    <cellStyle name="Normal 4 4 5 10" xfId="18323" xr:uid="{10B46F82-5393-42F1-85B9-B45BDF78CB4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9B6C5F27-2A1F-4670-B7FD-74F44A9A1E5F}"/>
    <cellStyle name="Normal 4 4 5 2 2 2 3" xfId="25098" xr:uid="{78A9773C-A596-4181-8B18-F322BA00B3A4}"/>
    <cellStyle name="Normal 4 4 5 2 2 3" xfId="12434" xr:uid="{0FB14E81-E585-414A-A53B-A0C94B3119C7}"/>
    <cellStyle name="Normal 4 4 5 2 2 4" xfId="20881" xr:uid="{1AABEDA7-B3D1-4EF5-ADDF-D10123638FE5}"/>
    <cellStyle name="Normal 4 4 5 2 3" xfId="5180" xr:uid="{00000000-0005-0000-0000-0000E0150000}"/>
    <cellStyle name="Normal 4 4 5 2 3 2" xfId="14506" xr:uid="{65BBCD3F-5A4E-4B6C-9A4D-944F3056C59C}"/>
    <cellStyle name="Normal 4 4 5 2 3 3" xfId="22953" xr:uid="{968556D3-B7EA-444B-8417-5C6D2D65E4A6}"/>
    <cellStyle name="Normal 4 4 5 2 4" xfId="9393" xr:uid="{C2991CC4-4E0B-46C4-B338-C6A1C9BA2DE9}"/>
    <cellStyle name="Normal 4 4 5 2 5" xfId="10289" xr:uid="{3CB0AA89-D562-4100-B71E-C854BB4D4B0D}"/>
    <cellStyle name="Normal 4 4 5 2 6" xfId="18736" xr:uid="{69B236EC-DB6C-4BCC-8902-5F63D6A43BDF}"/>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9113D4EA-99FF-4B39-A812-FAD68BE44719}"/>
    <cellStyle name="Normal 4 4 5 3 2 2 3" xfId="25511" xr:uid="{74B4B63A-4C15-4DA1-BD01-BC128448A52F}"/>
    <cellStyle name="Normal 4 4 5 3 2 3" xfId="12847" xr:uid="{49626966-CEE4-410E-8B96-D4FF308EE0CB}"/>
    <cellStyle name="Normal 4 4 5 3 2 4" xfId="21294" xr:uid="{89F9F5E0-7C43-4E12-A851-C46FFAC35049}"/>
    <cellStyle name="Normal 4 4 5 3 3" xfId="5593" xr:uid="{00000000-0005-0000-0000-0000E4150000}"/>
    <cellStyle name="Normal 4 4 5 3 3 2" xfId="14919" xr:uid="{09F1DC14-13BC-4501-A75F-12E7B01C31D0}"/>
    <cellStyle name="Normal 4 4 5 3 3 3" xfId="23366" xr:uid="{4B05AA14-6898-48A5-8EE7-BF6884F31E95}"/>
    <cellStyle name="Normal 4 4 5 3 4" xfId="10702" xr:uid="{F735428F-4E3C-4722-8440-6D7295708D12}"/>
    <cellStyle name="Normal 4 4 5 3 5" xfId="19149" xr:uid="{539A54B9-D592-4350-A711-676DB277F91A}"/>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64E42291-1655-4868-AA75-31CAC0BE693E}"/>
    <cellStyle name="Normal 4 4 5 4 2 2 3" xfId="25924" xr:uid="{708906E3-DFB6-43DD-9296-3089094C8822}"/>
    <cellStyle name="Normal 4 4 5 4 2 3" xfId="13260" xr:uid="{3C5E42D3-21BC-43AF-89B1-2710F729B8B1}"/>
    <cellStyle name="Normal 4 4 5 4 2 4" xfId="21707" xr:uid="{C5F4CB05-A5AC-480D-9388-E2C8637B66B4}"/>
    <cellStyle name="Normal 4 4 5 4 3" xfId="6006" xr:uid="{00000000-0005-0000-0000-0000E8150000}"/>
    <cellStyle name="Normal 4 4 5 4 3 2" xfId="15332" xr:uid="{9E17D787-32A8-41F4-AB9A-E6CA2F479149}"/>
    <cellStyle name="Normal 4 4 5 4 3 3" xfId="23779" xr:uid="{1A2F0F85-BF50-40A7-8131-B506CD6DE685}"/>
    <cellStyle name="Normal 4 4 5 4 4" xfId="11115" xr:uid="{F55933CF-645A-4049-904D-635324846F8E}"/>
    <cellStyle name="Normal 4 4 5 4 5" xfId="19562" xr:uid="{658463DF-B67F-4EB4-A7C9-6A13541FFD4D}"/>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F28E070F-846C-4EAF-9E0B-292D520340F9}"/>
    <cellStyle name="Normal 4 4 5 5 2 2 3" xfId="26337" xr:uid="{122ADE5A-1233-47E7-97F2-62495C67DCFA}"/>
    <cellStyle name="Normal 4 4 5 5 2 3" xfId="13673" xr:uid="{E688795B-020D-4F82-B5BB-62F5E663FA5C}"/>
    <cellStyle name="Normal 4 4 5 5 2 4" xfId="22120" xr:uid="{6D05D13E-55B9-4A0F-A69A-C2E1FD375AC7}"/>
    <cellStyle name="Normal 4 4 5 5 3" xfId="6419" xr:uid="{00000000-0005-0000-0000-0000EC150000}"/>
    <cellStyle name="Normal 4 4 5 5 3 2" xfId="15745" xr:uid="{758D422D-9380-493E-8460-35BA830C1AC9}"/>
    <cellStyle name="Normal 4 4 5 5 3 3" xfId="24192" xr:uid="{15ACCEED-1239-4CC4-821C-9112C7BD4A25}"/>
    <cellStyle name="Normal 4 4 5 5 4" xfId="11528" xr:uid="{B4DC0861-AAF0-4C8B-9AC6-732C6B20F7D4}"/>
    <cellStyle name="Normal 4 4 5 5 5" xfId="19975" xr:uid="{7077989F-4FF1-4F9B-ABA6-A369C9FDDD5C}"/>
    <cellStyle name="Normal 4 4 5 6" xfId="2549" xr:uid="{00000000-0005-0000-0000-0000ED150000}"/>
    <cellStyle name="Normal 4 4 5 6 2" xfId="6832" xr:uid="{00000000-0005-0000-0000-0000EE150000}"/>
    <cellStyle name="Normal 4 4 5 6 2 2" xfId="16158" xr:uid="{C0B92DC5-9BCD-4824-9774-E647DC534C02}"/>
    <cellStyle name="Normal 4 4 5 6 2 3" xfId="24605" xr:uid="{0F8341DA-1F81-44B6-A53F-A2948019600E}"/>
    <cellStyle name="Normal 4 4 5 6 3" xfId="11941" xr:uid="{8A704E09-C65F-401E-903A-E10F9E9EF125}"/>
    <cellStyle name="Normal 4 4 5 6 4" xfId="20388" xr:uid="{C1689DE2-AA73-40FF-83AC-40A9E6A10149}"/>
    <cellStyle name="Normal 4 4 5 7" xfId="4767" xr:uid="{00000000-0005-0000-0000-0000EF150000}"/>
    <cellStyle name="Normal 4 4 5 7 2" xfId="14093" xr:uid="{152EB610-EE4E-4762-94A4-A2F08D29B1BC}"/>
    <cellStyle name="Normal 4 4 5 7 3" xfId="22540" xr:uid="{2466435A-A472-481C-9791-1825B425723E}"/>
    <cellStyle name="Normal 4 4 5 8" xfId="8968" xr:uid="{BE877DDE-435D-4CBA-84F2-0372D1DDE771}"/>
    <cellStyle name="Normal 4 4 5 9" xfId="9876" xr:uid="{B3BE89AE-F45B-4464-A75B-F1F5D25A705C}"/>
    <cellStyle name="Normal 4 4 6" xfId="853" xr:uid="{00000000-0005-0000-0000-0000F0150000}"/>
    <cellStyle name="Normal 4 4 6 2" xfId="3088" xr:uid="{00000000-0005-0000-0000-0000F1150000}"/>
    <cellStyle name="Normal 4 4 6 2 2" xfId="7310" xr:uid="{00000000-0005-0000-0000-0000F2150000}"/>
    <cellStyle name="Normal 4 4 6 2 2 2" xfId="16636" xr:uid="{A81A57D3-6E57-484A-9E73-C998D5176AC5}"/>
    <cellStyle name="Normal 4 4 6 2 2 3" xfId="25083" xr:uid="{D2C93CEE-AF77-489A-A157-EA4CD5EB6E6F}"/>
    <cellStyle name="Normal 4 4 6 2 3" xfId="12419" xr:uid="{666C9151-27D1-46CC-B480-05BB55C61081}"/>
    <cellStyle name="Normal 4 4 6 2 4" xfId="20866" xr:uid="{FB85A3AA-7580-4F9D-BD88-7166EBA34CAC}"/>
    <cellStyle name="Normal 4 4 6 3" xfId="5165" xr:uid="{00000000-0005-0000-0000-0000F3150000}"/>
    <cellStyle name="Normal 4 4 6 3 2" xfId="14491" xr:uid="{4EA351A2-C280-4A73-9E7D-F058C92716E9}"/>
    <cellStyle name="Normal 4 4 6 3 3" xfId="22938" xr:uid="{18ADC5C9-AB09-4F7A-9384-1FF19A322393}"/>
    <cellStyle name="Normal 4 4 6 4" xfId="9171" xr:uid="{C474601B-95F0-4C9E-AB77-B3E61D2A21D7}"/>
    <cellStyle name="Normal 4 4 6 5" xfId="10274" xr:uid="{AE0F2346-BDC0-434C-8AA3-103937BE95B8}"/>
    <cellStyle name="Normal 4 4 6 6" xfId="18721" xr:uid="{891C1B67-D8B1-4AE2-9C7C-0C17CA592A92}"/>
    <cellStyle name="Normal 4 4 7" xfId="1271" xr:uid="{00000000-0005-0000-0000-0000F4150000}"/>
    <cellStyle name="Normal 4 4 7 2" xfId="3501" xr:uid="{00000000-0005-0000-0000-0000F5150000}"/>
    <cellStyle name="Normal 4 4 7 2 2" xfId="7723" xr:uid="{00000000-0005-0000-0000-0000F6150000}"/>
    <cellStyle name="Normal 4 4 7 2 2 2" xfId="17049" xr:uid="{D1CC8483-5AFE-4B1B-94B4-9DF9AF811F99}"/>
    <cellStyle name="Normal 4 4 7 2 2 3" xfId="25496" xr:uid="{008265FF-12A1-4DCB-AD39-B2BC0D6CDBC4}"/>
    <cellStyle name="Normal 4 4 7 2 3" xfId="12832" xr:uid="{54A7A157-75E0-403C-971B-679FF455069A}"/>
    <cellStyle name="Normal 4 4 7 2 4" xfId="21279" xr:uid="{468292C3-CC62-47E3-B32C-63DA294E935E}"/>
    <cellStyle name="Normal 4 4 7 3" xfId="5578" xr:uid="{00000000-0005-0000-0000-0000F7150000}"/>
    <cellStyle name="Normal 4 4 7 3 2" xfId="14904" xr:uid="{C84A99FF-E339-4F61-9F4E-A3623C401C35}"/>
    <cellStyle name="Normal 4 4 7 3 3" xfId="23351" xr:uid="{B44105F3-2868-4969-AEBF-B0D08487154A}"/>
    <cellStyle name="Normal 4 4 7 4" xfId="10687" xr:uid="{DE386127-3F39-4598-A507-88F3930F3A12}"/>
    <cellStyle name="Normal 4 4 7 5" xfId="19134" xr:uid="{BF4066E9-3055-4E75-9D81-1A55B67EE43C}"/>
    <cellStyle name="Normal 4 4 8" xfId="1684" xr:uid="{00000000-0005-0000-0000-0000F8150000}"/>
    <cellStyle name="Normal 4 4 8 2" xfId="3914" xr:uid="{00000000-0005-0000-0000-0000F9150000}"/>
    <cellStyle name="Normal 4 4 8 2 2" xfId="8136" xr:uid="{00000000-0005-0000-0000-0000FA150000}"/>
    <cellStyle name="Normal 4 4 8 2 2 2" xfId="17462" xr:uid="{CC021956-53EE-4E8F-97B8-B7CB25724C11}"/>
    <cellStyle name="Normal 4 4 8 2 2 3" xfId="25909" xr:uid="{45F8F018-FC6A-40A3-A25D-BE33481358F6}"/>
    <cellStyle name="Normal 4 4 8 2 3" xfId="13245" xr:uid="{1C64C7C5-08DE-4126-9808-5A0678B916E5}"/>
    <cellStyle name="Normal 4 4 8 2 4" xfId="21692" xr:uid="{069D2A09-0336-497A-899C-A1A72E4DD0FB}"/>
    <cellStyle name="Normal 4 4 8 3" xfId="5991" xr:uid="{00000000-0005-0000-0000-0000FB150000}"/>
    <cellStyle name="Normal 4 4 8 3 2" xfId="15317" xr:uid="{F501B394-D778-48ED-96EE-CD797835C995}"/>
    <cellStyle name="Normal 4 4 8 3 3" xfId="23764" xr:uid="{FF2C4A34-FA99-4B73-A2D8-FCAD53EC7B2E}"/>
    <cellStyle name="Normal 4 4 8 4" xfId="11100" xr:uid="{58E126B5-8007-4AFB-89B3-98A3D89DA94B}"/>
    <cellStyle name="Normal 4 4 8 5" xfId="19547" xr:uid="{C52F82C6-4088-47CD-9A26-204EC10D3D2F}"/>
    <cellStyle name="Normal 4 4 9" xfId="2098" xr:uid="{00000000-0005-0000-0000-0000FC150000}"/>
    <cellStyle name="Normal 4 4 9 2" xfId="4327" xr:uid="{00000000-0005-0000-0000-0000FD150000}"/>
    <cellStyle name="Normal 4 4 9 2 2" xfId="8549" xr:uid="{00000000-0005-0000-0000-0000FE150000}"/>
    <cellStyle name="Normal 4 4 9 2 2 2" xfId="17875" xr:uid="{0BBB6A46-A5A3-4FCB-95CD-6F096B77DFC2}"/>
    <cellStyle name="Normal 4 4 9 2 2 3" xfId="26322" xr:uid="{1CAB4D2A-63EF-4697-AAD6-922D6F7DBEB3}"/>
    <cellStyle name="Normal 4 4 9 2 3" xfId="13658" xr:uid="{8E55B387-FCDA-4B32-99F6-6EDBD83B0367}"/>
    <cellStyle name="Normal 4 4 9 2 4" xfId="22105" xr:uid="{1AB636E4-C188-406B-AAEA-69869657B068}"/>
    <cellStyle name="Normal 4 4 9 3" xfId="6404" xr:uid="{00000000-0005-0000-0000-0000FF150000}"/>
    <cellStyle name="Normal 4 4 9 3 2" xfId="15730" xr:uid="{32A11A4D-4564-47EF-8A77-BA2502816A2A}"/>
    <cellStyle name="Normal 4 4 9 3 3" xfId="24177" xr:uid="{1BC944C7-6E8D-4591-937A-32F9ABBBF295}"/>
    <cellStyle name="Normal 4 4 9 4" xfId="11513" xr:uid="{3A6BDB13-D593-462A-9127-9AEB7FB5216A}"/>
    <cellStyle name="Normal 4 4 9 5" xfId="19960" xr:uid="{9A7383B2-EB71-4875-9449-1C6A207D76A6}"/>
    <cellStyle name="Normal 4 5" xfId="394" xr:uid="{00000000-0005-0000-0000-000000160000}"/>
    <cellStyle name="Normal 4 6" xfId="395" xr:uid="{00000000-0005-0000-0000-000001160000}"/>
    <cellStyle name="Normal 4 6 10" xfId="4768" xr:uid="{00000000-0005-0000-0000-000002160000}"/>
    <cellStyle name="Normal 4 6 10 2" xfId="14094" xr:uid="{677D88A3-E858-4344-83E7-FD2C13D2C5CB}"/>
    <cellStyle name="Normal 4 6 10 3" xfId="22541" xr:uid="{538516DB-ACB4-4ABB-80B1-DEA126B8C9B2}"/>
    <cellStyle name="Normal 4 6 11" xfId="8772" xr:uid="{23628FEE-4113-4B2C-B2A0-0106FC7F55C2}"/>
    <cellStyle name="Normal 4 6 12" xfId="9877" xr:uid="{F89A9567-FF4C-4D4A-9CDB-8262117DC3DC}"/>
    <cellStyle name="Normal 4 6 13" xfId="18324" xr:uid="{F4C20F3C-6B9E-4C75-ADC8-7FA80FCA9311}"/>
    <cellStyle name="Normal 4 6 2" xfId="396" xr:uid="{00000000-0005-0000-0000-000003160000}"/>
    <cellStyle name="Normal 4 6 2 10" xfId="8825" xr:uid="{C3062495-9D56-441B-95F6-B73E7DAC524C}"/>
    <cellStyle name="Normal 4 6 2 11" xfId="9878" xr:uid="{60888709-335B-40AA-A2AB-A60E3E1C2C55}"/>
    <cellStyle name="Normal 4 6 2 12" xfId="18325" xr:uid="{4FFAB0D5-E0FA-4A10-B461-0001501D1348}"/>
    <cellStyle name="Normal 4 6 2 2" xfId="397" xr:uid="{00000000-0005-0000-0000-000004160000}"/>
    <cellStyle name="Normal 4 6 2 2 10" xfId="9879" xr:uid="{378E22B6-D6F6-46DF-8283-3841E83F43EC}"/>
    <cellStyle name="Normal 4 6 2 2 11" xfId="18326" xr:uid="{57A23721-8B32-4ED6-994B-5298A9BEB408}"/>
    <cellStyle name="Normal 4 6 2 2 2" xfId="398" xr:uid="{00000000-0005-0000-0000-000005160000}"/>
    <cellStyle name="Normal 4 6 2 2 2 10" xfId="18327" xr:uid="{6AE34EB6-422F-49BD-B9F4-1161653F43F7}"/>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F8A8CE16-33C3-4497-866E-F4544A9A9DCD}"/>
    <cellStyle name="Normal 4 6 2 2 2 2 2 2 3" xfId="25102" xr:uid="{FED2F29A-93E5-40EC-AAB6-58E07CE180AF}"/>
    <cellStyle name="Normal 4 6 2 2 2 2 2 3" xfId="12438" xr:uid="{687AE7F6-41A5-4F3A-B44B-388DE03A1B4A}"/>
    <cellStyle name="Normal 4 6 2 2 2 2 2 4" xfId="20885" xr:uid="{577D3303-541D-46A9-90E4-64DBE4062BA8}"/>
    <cellStyle name="Normal 4 6 2 2 2 2 3" xfId="5184" xr:uid="{00000000-0005-0000-0000-000009160000}"/>
    <cellStyle name="Normal 4 6 2 2 2 2 3 2" xfId="14510" xr:uid="{3BDCC291-179E-4EF9-BF54-004C5C048331}"/>
    <cellStyle name="Normal 4 6 2 2 2 2 3 3" xfId="22957" xr:uid="{9E8A41F9-558F-4C1F-9D11-A5821F120065}"/>
    <cellStyle name="Normal 4 6 2 2 2 2 4" xfId="9560" xr:uid="{04DAEE11-A96E-4522-8546-8A0C107E12B9}"/>
    <cellStyle name="Normal 4 6 2 2 2 2 5" xfId="10293" xr:uid="{1E1D3D56-6346-4165-90B4-F045525A9357}"/>
    <cellStyle name="Normal 4 6 2 2 2 2 6" xfId="18740" xr:uid="{9C12EEE2-EC90-4836-A76D-F9B3BAD5E406}"/>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0BD91E58-6648-44FD-95C5-2F27959DE4A7}"/>
    <cellStyle name="Normal 4 6 2 2 2 3 2 2 3" xfId="25515" xr:uid="{D3260F11-700C-48C9-80FC-A748D5004A85}"/>
    <cellStyle name="Normal 4 6 2 2 2 3 2 3" xfId="12851" xr:uid="{38E5276A-7374-4C0F-B846-28607D416CD6}"/>
    <cellStyle name="Normal 4 6 2 2 2 3 2 4" xfId="21298" xr:uid="{56CE5503-FACA-4EAD-92D7-9AC4005CAB4B}"/>
    <cellStyle name="Normal 4 6 2 2 2 3 3" xfId="5597" xr:uid="{00000000-0005-0000-0000-00000D160000}"/>
    <cellStyle name="Normal 4 6 2 2 2 3 3 2" xfId="14923" xr:uid="{18C06E15-DA3B-4822-A6B0-67E10DE665A8}"/>
    <cellStyle name="Normal 4 6 2 2 2 3 3 3" xfId="23370" xr:uid="{7EC05100-1B13-43F5-95D9-92691DE2CFB8}"/>
    <cellStyle name="Normal 4 6 2 2 2 3 4" xfId="10706" xr:uid="{36AD07F1-29B0-4C97-B21F-28A40EEC02B1}"/>
    <cellStyle name="Normal 4 6 2 2 2 3 5" xfId="19153" xr:uid="{E189F264-6D0E-421C-90FB-777740863593}"/>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D87BA8B0-5816-4927-942D-228D0A833BE3}"/>
    <cellStyle name="Normal 4 6 2 2 2 4 2 2 3" xfId="25928" xr:uid="{F325D5BD-8D71-45BA-AD70-A384577ECC9E}"/>
    <cellStyle name="Normal 4 6 2 2 2 4 2 3" xfId="13264" xr:uid="{C5C608D4-CB64-4452-954E-F7AFCF2A1B7C}"/>
    <cellStyle name="Normal 4 6 2 2 2 4 2 4" xfId="21711" xr:uid="{8D9CAD21-230D-4F55-BDC9-8608C053E047}"/>
    <cellStyle name="Normal 4 6 2 2 2 4 3" xfId="6010" xr:uid="{00000000-0005-0000-0000-000011160000}"/>
    <cellStyle name="Normal 4 6 2 2 2 4 3 2" xfId="15336" xr:uid="{9D5785A1-E0DA-4F0B-B28C-827D921FBA9E}"/>
    <cellStyle name="Normal 4 6 2 2 2 4 3 3" xfId="23783" xr:uid="{770D96AD-BC01-495A-BEDC-695D48D62D40}"/>
    <cellStyle name="Normal 4 6 2 2 2 4 4" xfId="11119" xr:uid="{0447298B-A55C-40C7-978C-26C0F3AF7042}"/>
    <cellStyle name="Normal 4 6 2 2 2 4 5" xfId="19566" xr:uid="{0BA26D22-3F28-4C7F-B9CD-C5C9C623F30F}"/>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34ABF0AB-E109-4ADA-B917-3A39DA328B1C}"/>
    <cellStyle name="Normal 4 6 2 2 2 5 2 2 3" xfId="26341" xr:uid="{E872406C-2E18-4EBC-9861-1F40CED08DD9}"/>
    <cellStyle name="Normal 4 6 2 2 2 5 2 3" xfId="13677" xr:uid="{2B066296-31FB-4A52-9799-A5255C57C36B}"/>
    <cellStyle name="Normal 4 6 2 2 2 5 2 4" xfId="22124" xr:uid="{B4C579FE-E40F-4D02-B9A0-1D7FB8BBF093}"/>
    <cellStyle name="Normal 4 6 2 2 2 5 3" xfId="6423" xr:uid="{00000000-0005-0000-0000-000015160000}"/>
    <cellStyle name="Normal 4 6 2 2 2 5 3 2" xfId="15749" xr:uid="{9C7F4D6B-F266-42E5-AF19-711FB8483291}"/>
    <cellStyle name="Normal 4 6 2 2 2 5 3 3" xfId="24196" xr:uid="{6BD09E63-26B7-4ED3-8AAD-73CDF7C1BFB7}"/>
    <cellStyle name="Normal 4 6 2 2 2 5 4" xfId="11532" xr:uid="{02862CDF-B0E8-4321-804C-30C765E4BF60}"/>
    <cellStyle name="Normal 4 6 2 2 2 5 5" xfId="19979" xr:uid="{75991B1D-9F22-4F08-92CC-6316181A1F62}"/>
    <cellStyle name="Normal 4 6 2 2 2 6" xfId="2553" xr:uid="{00000000-0005-0000-0000-000016160000}"/>
    <cellStyle name="Normal 4 6 2 2 2 6 2" xfId="6836" xr:uid="{00000000-0005-0000-0000-000017160000}"/>
    <cellStyle name="Normal 4 6 2 2 2 6 2 2" xfId="16162" xr:uid="{3F8EC94C-AABF-4431-9FD8-4BD6D1C3B304}"/>
    <cellStyle name="Normal 4 6 2 2 2 6 2 3" xfId="24609" xr:uid="{AEAA851D-D2D5-4BEA-99E5-433F58136ED1}"/>
    <cellStyle name="Normal 4 6 2 2 2 6 3" xfId="11945" xr:uid="{284D1737-6264-41DA-AD98-51DF93537B05}"/>
    <cellStyle name="Normal 4 6 2 2 2 6 4" xfId="20392" xr:uid="{962CFB99-8288-4815-9F6E-1A4F63B0F05A}"/>
    <cellStyle name="Normal 4 6 2 2 2 7" xfId="4771" xr:uid="{00000000-0005-0000-0000-000018160000}"/>
    <cellStyle name="Normal 4 6 2 2 2 7 2" xfId="14097" xr:uid="{C79D5382-D1C0-4651-AD96-DEF28FF2F572}"/>
    <cellStyle name="Normal 4 6 2 2 2 7 3" xfId="22544" xr:uid="{3030CC5A-C091-43BB-8947-82E9485B709E}"/>
    <cellStyle name="Normal 4 6 2 2 2 8" xfId="9135" xr:uid="{2F4C420F-13DD-45DD-99DD-C7AFF7CD7823}"/>
    <cellStyle name="Normal 4 6 2 2 2 9" xfId="9880" xr:uid="{92A620F5-5BEC-42D8-A121-5D8AB212DC6E}"/>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7D9F6C2E-3C7B-4A12-A52F-3AF482291632}"/>
    <cellStyle name="Normal 4 6 2 2 3 2 2 3" xfId="25101" xr:uid="{4C17F0CE-81FD-4686-90B4-38DA0C09090D}"/>
    <cellStyle name="Normal 4 6 2 2 3 2 3" xfId="12437" xr:uid="{8B588BC7-D251-4544-B500-E45DCC26EB87}"/>
    <cellStyle name="Normal 4 6 2 2 3 2 4" xfId="20884" xr:uid="{87E2B5CA-9AB3-4693-9C88-442DD6301A49}"/>
    <cellStyle name="Normal 4 6 2 2 3 3" xfId="5183" xr:uid="{00000000-0005-0000-0000-00001C160000}"/>
    <cellStyle name="Normal 4 6 2 2 3 3 2" xfId="14509" xr:uid="{88BF76B0-F3D5-4B58-9407-A994DF926CA6}"/>
    <cellStyle name="Normal 4 6 2 2 3 3 3" xfId="22956" xr:uid="{206B8CA6-C711-41C9-89CC-431B05CBE256}"/>
    <cellStyle name="Normal 4 6 2 2 3 4" xfId="9353" xr:uid="{60C7EC16-17DE-43AF-A246-41C667B376B7}"/>
    <cellStyle name="Normal 4 6 2 2 3 5" xfId="10292" xr:uid="{B2B36D6F-2579-4C4E-81D5-73AD80E60DF5}"/>
    <cellStyle name="Normal 4 6 2 2 3 6" xfId="18739" xr:uid="{01881485-A429-47B1-BDB7-5F2327BB0A95}"/>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E3DAE65F-90C2-46DC-8BAA-9297E199684C}"/>
    <cellStyle name="Normal 4 6 2 2 4 2 2 3" xfId="25514" xr:uid="{77F698F1-ABB3-4347-83AA-F621CA091679}"/>
    <cellStyle name="Normal 4 6 2 2 4 2 3" xfId="12850" xr:uid="{D884073E-70A6-4BE0-92B7-446AB3993155}"/>
    <cellStyle name="Normal 4 6 2 2 4 2 4" xfId="21297" xr:uid="{D06358FA-67F1-484A-AA76-CE44104C6D0E}"/>
    <cellStyle name="Normal 4 6 2 2 4 3" xfId="5596" xr:uid="{00000000-0005-0000-0000-000020160000}"/>
    <cellStyle name="Normal 4 6 2 2 4 3 2" xfId="14922" xr:uid="{23EAD520-9083-486F-8A5C-88707A0C81EB}"/>
    <cellStyle name="Normal 4 6 2 2 4 3 3" xfId="23369" xr:uid="{935AFB6D-1400-4423-BC24-97C5CCEA1E5D}"/>
    <cellStyle name="Normal 4 6 2 2 4 4" xfId="10705" xr:uid="{4F76C176-060B-4C79-8612-A5D633752D15}"/>
    <cellStyle name="Normal 4 6 2 2 4 5" xfId="19152" xr:uid="{130A6A53-C6DC-4771-B317-A33565F3556D}"/>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FFAF80FE-1FBF-4A66-B668-2995839C423B}"/>
    <cellStyle name="Normal 4 6 2 2 5 2 2 3" xfId="25927" xr:uid="{F70D22AE-5170-403A-82E9-90DCD6D3DF53}"/>
    <cellStyle name="Normal 4 6 2 2 5 2 3" xfId="13263" xr:uid="{1A7B41F5-5824-475A-A028-846B687EC096}"/>
    <cellStyle name="Normal 4 6 2 2 5 2 4" xfId="21710" xr:uid="{82F6D00F-8E6D-4CDB-92EF-CE30C3AA3FF1}"/>
    <cellStyle name="Normal 4 6 2 2 5 3" xfId="6009" xr:uid="{00000000-0005-0000-0000-000024160000}"/>
    <cellStyle name="Normal 4 6 2 2 5 3 2" xfId="15335" xr:uid="{513AED6D-211D-49C2-A9FC-0D0F98C761AE}"/>
    <cellStyle name="Normal 4 6 2 2 5 3 3" xfId="23782" xr:uid="{47CA7B0D-6D4A-4E8A-89D7-8689EFE4AE03}"/>
    <cellStyle name="Normal 4 6 2 2 5 4" xfId="11118" xr:uid="{98303F9E-2A96-45F2-AB58-DF387E52E3CE}"/>
    <cellStyle name="Normal 4 6 2 2 5 5" xfId="19565" xr:uid="{0335D9B7-DD0A-4063-A0D2-98CEE4688183}"/>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CA394754-A97E-4C28-9AA5-04A4061AADE8}"/>
    <cellStyle name="Normal 4 6 2 2 6 2 2 3" xfId="26340" xr:uid="{920C7D75-2551-44AF-B3DE-DE0DA58DA0F6}"/>
    <cellStyle name="Normal 4 6 2 2 6 2 3" xfId="13676" xr:uid="{045F5C74-0F4C-413E-A10C-8CB055B20553}"/>
    <cellStyle name="Normal 4 6 2 2 6 2 4" xfId="22123" xr:uid="{FD934C09-FDA2-4866-9AF0-F57FD6295C90}"/>
    <cellStyle name="Normal 4 6 2 2 6 3" xfId="6422" xr:uid="{00000000-0005-0000-0000-000028160000}"/>
    <cellStyle name="Normal 4 6 2 2 6 3 2" xfId="15748" xr:uid="{8F9377BB-BE1E-4CD9-A368-BFE04F025CE3}"/>
    <cellStyle name="Normal 4 6 2 2 6 3 3" xfId="24195" xr:uid="{65A29BBC-2502-4DFD-9D93-714097E219D2}"/>
    <cellStyle name="Normal 4 6 2 2 6 4" xfId="11531" xr:uid="{1471D62E-213E-460D-B64B-EA319D5F9187}"/>
    <cellStyle name="Normal 4 6 2 2 6 5" xfId="19978" xr:uid="{2FA27451-071B-45CD-A142-2E2166210B88}"/>
    <cellStyle name="Normal 4 6 2 2 7" xfId="2552" xr:uid="{00000000-0005-0000-0000-000029160000}"/>
    <cellStyle name="Normal 4 6 2 2 7 2" xfId="6835" xr:uid="{00000000-0005-0000-0000-00002A160000}"/>
    <cellStyle name="Normal 4 6 2 2 7 2 2" xfId="16161" xr:uid="{423F42D7-B164-457C-BB28-C49E34E06E12}"/>
    <cellStyle name="Normal 4 6 2 2 7 2 3" xfId="24608" xr:uid="{89BD0B8E-EA30-4F36-8FAB-BF3497538FFA}"/>
    <cellStyle name="Normal 4 6 2 2 7 3" xfId="11944" xr:uid="{229540B6-98A2-4D72-8A27-27023370CE21}"/>
    <cellStyle name="Normal 4 6 2 2 7 4" xfId="20391" xr:uid="{A547AE0B-10CC-4839-9B56-D748BC21A67E}"/>
    <cellStyle name="Normal 4 6 2 2 8" xfId="4770" xr:uid="{00000000-0005-0000-0000-00002B160000}"/>
    <cellStyle name="Normal 4 6 2 2 8 2" xfId="14096" xr:uid="{70B4A4EE-7A3C-4D00-B507-0EAE58F52825}"/>
    <cellStyle name="Normal 4 6 2 2 8 3" xfId="22543" xr:uid="{19122624-186F-4A26-89FE-2659B4B72334}"/>
    <cellStyle name="Normal 4 6 2 2 9" xfId="8928" xr:uid="{EC58FE5E-68BA-4864-AD86-0F9D1DB17AD0}"/>
    <cellStyle name="Normal 4 6 2 3" xfId="399" xr:uid="{00000000-0005-0000-0000-00002C160000}"/>
    <cellStyle name="Normal 4 6 2 3 10" xfId="18328" xr:uid="{CAF743C8-3E8E-496D-91D1-2E3C2A148B2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3AA99787-3994-4E44-B7DA-A4491A1ECEE0}"/>
    <cellStyle name="Normal 4 6 2 3 2 2 2 3" xfId="25103" xr:uid="{2D0F3BC3-5473-419C-A758-3EA75381AE20}"/>
    <cellStyle name="Normal 4 6 2 3 2 2 3" xfId="12439" xr:uid="{CADE2FB9-9DBA-4EEB-A32F-DC63F595F707}"/>
    <cellStyle name="Normal 4 6 2 3 2 2 4" xfId="20886" xr:uid="{316FF8DF-7FE3-48FB-A0F9-DC0B9B9538CA}"/>
    <cellStyle name="Normal 4 6 2 3 2 3" xfId="5185" xr:uid="{00000000-0005-0000-0000-000030160000}"/>
    <cellStyle name="Normal 4 6 2 3 2 3 2" xfId="14511" xr:uid="{B03DFC93-F2CF-48E8-AB15-661E4E67D4EB}"/>
    <cellStyle name="Normal 4 6 2 3 2 3 3" xfId="22958" xr:uid="{BB34D66C-1D75-4269-829C-37ED89E361E4}"/>
    <cellStyle name="Normal 4 6 2 3 2 4" xfId="9457" xr:uid="{E86AED2D-42AD-49DE-9461-1FA72B82C89E}"/>
    <cellStyle name="Normal 4 6 2 3 2 5" xfId="10294" xr:uid="{B2DEA479-F0EC-4F10-9CED-655DF272400A}"/>
    <cellStyle name="Normal 4 6 2 3 2 6" xfId="18741" xr:uid="{C1C0E6ED-6EBD-4F81-9928-048FF6E521B8}"/>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3FD3177D-D0F0-45C4-8C75-87E405CD0EA0}"/>
    <cellStyle name="Normal 4 6 2 3 3 2 2 3" xfId="25516" xr:uid="{BFEEB4E6-04BF-4F59-BB62-17A18A074833}"/>
    <cellStyle name="Normal 4 6 2 3 3 2 3" xfId="12852" xr:uid="{545A56B9-F365-477E-ADF9-5D13E0755493}"/>
    <cellStyle name="Normal 4 6 2 3 3 2 4" xfId="21299" xr:uid="{01CE7853-D7F2-4CFA-B645-59F390B270A7}"/>
    <cellStyle name="Normal 4 6 2 3 3 3" xfId="5598" xr:uid="{00000000-0005-0000-0000-000034160000}"/>
    <cellStyle name="Normal 4 6 2 3 3 3 2" xfId="14924" xr:uid="{6E8B09C3-E53F-4A0B-8D38-D151221B0618}"/>
    <cellStyle name="Normal 4 6 2 3 3 3 3" xfId="23371" xr:uid="{A1077330-F815-4EA3-A651-F9B310D3111D}"/>
    <cellStyle name="Normal 4 6 2 3 3 4" xfId="10707" xr:uid="{2D3DF2CC-F357-4D57-8F02-E359AD22D23C}"/>
    <cellStyle name="Normal 4 6 2 3 3 5" xfId="19154" xr:uid="{6F0779ED-B95E-426B-825D-2E6E796A7DD1}"/>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9E1BA882-9778-411F-8DD5-C06927EF6150}"/>
    <cellStyle name="Normal 4 6 2 3 4 2 2 3" xfId="25929" xr:uid="{AC90F08C-6C45-4C82-A53B-B172C4069839}"/>
    <cellStyle name="Normal 4 6 2 3 4 2 3" xfId="13265" xr:uid="{12CF8472-B332-4CA8-90CF-6D46184EF906}"/>
    <cellStyle name="Normal 4 6 2 3 4 2 4" xfId="21712" xr:uid="{737FE33A-DE65-4B74-A277-C91F65F33EC9}"/>
    <cellStyle name="Normal 4 6 2 3 4 3" xfId="6011" xr:uid="{00000000-0005-0000-0000-000038160000}"/>
    <cellStyle name="Normal 4 6 2 3 4 3 2" xfId="15337" xr:uid="{AB70F834-420D-477C-94A3-A511671BDF0B}"/>
    <cellStyle name="Normal 4 6 2 3 4 3 3" xfId="23784" xr:uid="{B1B40A74-9B3C-4A0A-9458-132EEAC9DEDB}"/>
    <cellStyle name="Normal 4 6 2 3 4 4" xfId="11120" xr:uid="{163B5C36-D7BC-4549-96E1-B4B29B9A9169}"/>
    <cellStyle name="Normal 4 6 2 3 4 5" xfId="19567" xr:uid="{31CED764-F80B-4E5A-93DF-C7220BD2FF31}"/>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CF40C7B3-AB61-4B84-8150-13270FFBF722}"/>
    <cellStyle name="Normal 4 6 2 3 5 2 2 3" xfId="26342" xr:uid="{7B0203CC-54DE-446A-A022-5B67F6A54857}"/>
    <cellStyle name="Normal 4 6 2 3 5 2 3" xfId="13678" xr:uid="{460204BD-2C1F-456E-89B4-804EA12AAA34}"/>
    <cellStyle name="Normal 4 6 2 3 5 2 4" xfId="22125" xr:uid="{036E2E80-4554-4804-85E8-56185EEE32C1}"/>
    <cellStyle name="Normal 4 6 2 3 5 3" xfId="6424" xr:uid="{00000000-0005-0000-0000-00003C160000}"/>
    <cellStyle name="Normal 4 6 2 3 5 3 2" xfId="15750" xr:uid="{E257D44A-860F-4509-A5E6-D9251BEED53D}"/>
    <cellStyle name="Normal 4 6 2 3 5 3 3" xfId="24197" xr:uid="{1227D813-4635-4AB9-96DB-03D436036E66}"/>
    <cellStyle name="Normal 4 6 2 3 5 4" xfId="11533" xr:uid="{8BEA5286-FC7A-4C0C-980F-6AFEB5048943}"/>
    <cellStyle name="Normal 4 6 2 3 5 5" xfId="19980" xr:uid="{1FBC0AA1-6399-4A9A-A959-72788FEEEF47}"/>
    <cellStyle name="Normal 4 6 2 3 6" xfId="2554" xr:uid="{00000000-0005-0000-0000-00003D160000}"/>
    <cellStyle name="Normal 4 6 2 3 6 2" xfId="6837" xr:uid="{00000000-0005-0000-0000-00003E160000}"/>
    <cellStyle name="Normal 4 6 2 3 6 2 2" xfId="16163" xr:uid="{E39237CC-9127-45D1-9AB3-935CEB2483FD}"/>
    <cellStyle name="Normal 4 6 2 3 6 2 3" xfId="24610" xr:uid="{646DC3A3-2FEB-4946-B4BF-577C42A0C07B}"/>
    <cellStyle name="Normal 4 6 2 3 6 3" xfId="11946" xr:uid="{8327D646-4129-4F1A-A723-F73DD8426FB2}"/>
    <cellStyle name="Normal 4 6 2 3 6 4" xfId="20393" xr:uid="{5286F342-AAC4-48D6-88C4-1E2177C6BC9C}"/>
    <cellStyle name="Normal 4 6 2 3 7" xfId="4772" xr:uid="{00000000-0005-0000-0000-00003F160000}"/>
    <cellStyle name="Normal 4 6 2 3 7 2" xfId="14098" xr:uid="{4C234D87-1D2E-4069-B4F7-D26711D86047}"/>
    <cellStyle name="Normal 4 6 2 3 7 3" xfId="22545" xr:uid="{FA70A921-AAF6-4EC6-9A21-8AF51AF71E3C}"/>
    <cellStyle name="Normal 4 6 2 3 8" xfId="9032" xr:uid="{576A1DC5-5971-4772-803F-0A60F80D4C41}"/>
    <cellStyle name="Normal 4 6 2 3 9" xfId="9881" xr:uid="{8328D4D9-A1C2-4EA0-A687-6E400BA08759}"/>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8141507D-4865-4FFC-8563-CC6217FD7DDC}"/>
    <cellStyle name="Normal 4 6 2 4 2 2 3" xfId="25100" xr:uid="{C4458C57-63B8-44D2-BAEF-5A788FF3F593}"/>
    <cellStyle name="Normal 4 6 2 4 2 3" xfId="12436" xr:uid="{BB606A58-027E-4DF3-BDF7-BBF8AEA91A3C}"/>
    <cellStyle name="Normal 4 6 2 4 2 4" xfId="20883" xr:uid="{944DAFDC-2A16-4984-BE54-AE455E451EE9}"/>
    <cellStyle name="Normal 4 6 2 4 3" xfId="5182" xr:uid="{00000000-0005-0000-0000-000043160000}"/>
    <cellStyle name="Normal 4 6 2 4 3 2" xfId="14508" xr:uid="{13246811-8477-4D5C-8336-46BA5091710D}"/>
    <cellStyle name="Normal 4 6 2 4 3 3" xfId="22955" xr:uid="{EBCD4652-23B4-4B51-A0EA-3E1A25EBD8E9}"/>
    <cellStyle name="Normal 4 6 2 4 4" xfId="9250" xr:uid="{CBBC9A51-5203-4C00-93C7-FE7C973DCDD1}"/>
    <cellStyle name="Normal 4 6 2 4 5" xfId="10291" xr:uid="{0D0FB5D7-9471-46DA-BCBC-45474FA5F797}"/>
    <cellStyle name="Normal 4 6 2 4 6" xfId="18738" xr:uid="{AE9B1E03-EAB0-4315-9F79-F0FC78FA47DF}"/>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C5D97931-7905-4985-92C3-7B674A043807}"/>
    <cellStyle name="Normal 4 6 2 5 2 2 3" xfId="25513" xr:uid="{0707942B-3A72-4674-9389-3CFAFC251D89}"/>
    <cellStyle name="Normal 4 6 2 5 2 3" xfId="12849" xr:uid="{23EED04E-D0A4-465A-BCA9-8B56F0129675}"/>
    <cellStyle name="Normal 4 6 2 5 2 4" xfId="21296" xr:uid="{9B75F4CD-4F7E-42DD-B4CC-BF1C0A1EDF8A}"/>
    <cellStyle name="Normal 4 6 2 5 3" xfId="5595" xr:uid="{00000000-0005-0000-0000-000047160000}"/>
    <cellStyle name="Normal 4 6 2 5 3 2" xfId="14921" xr:uid="{551F7E9F-A4F0-41DB-BCC6-9DC26387C8D0}"/>
    <cellStyle name="Normal 4 6 2 5 3 3" xfId="23368" xr:uid="{A0491430-E51B-473E-9A2C-3C790F881715}"/>
    <cellStyle name="Normal 4 6 2 5 4" xfId="10704" xr:uid="{975DE5E6-AE44-4ECD-B076-03708FC8EC45}"/>
    <cellStyle name="Normal 4 6 2 5 5" xfId="19151" xr:uid="{9EFB4953-4E96-47C2-8D9F-DA2FC7F507B0}"/>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F833850E-AF7F-41F1-8009-00594551FA22}"/>
    <cellStyle name="Normal 4 6 2 6 2 2 3" xfId="25926" xr:uid="{0D234B0C-82B5-4E35-BB7B-7D5A17FF8BB1}"/>
    <cellStyle name="Normal 4 6 2 6 2 3" xfId="13262" xr:uid="{807DBB77-276C-4701-B96B-765FEB54ED46}"/>
    <cellStyle name="Normal 4 6 2 6 2 4" xfId="21709" xr:uid="{22F4E85B-E5C3-4936-A639-3BA9A173EC77}"/>
    <cellStyle name="Normal 4 6 2 6 3" xfId="6008" xr:uid="{00000000-0005-0000-0000-00004B160000}"/>
    <cellStyle name="Normal 4 6 2 6 3 2" xfId="15334" xr:uid="{36897640-21BF-4892-A75C-153A45D19CE5}"/>
    <cellStyle name="Normal 4 6 2 6 3 3" xfId="23781" xr:uid="{4E484E20-9DF7-43FC-8EF3-AA57176921A3}"/>
    <cellStyle name="Normal 4 6 2 6 4" xfId="11117" xr:uid="{BDFB1022-C2C4-44D5-A932-D637D11096D0}"/>
    <cellStyle name="Normal 4 6 2 6 5" xfId="19564" xr:uid="{5C5AFD4C-862B-45E5-8782-64C608AC1776}"/>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E6E5E48E-AF43-47D2-B88D-D31CFCC88DBA}"/>
    <cellStyle name="Normal 4 6 2 7 2 2 3" xfId="26339" xr:uid="{378578EB-4589-4637-9748-493147838475}"/>
    <cellStyle name="Normal 4 6 2 7 2 3" xfId="13675" xr:uid="{D7CA4E5A-42DF-473A-87F5-4D9C5D2BE671}"/>
    <cellStyle name="Normal 4 6 2 7 2 4" xfId="22122" xr:uid="{09376F0E-1FF8-4F4B-9FDD-F00FBDAA6C75}"/>
    <cellStyle name="Normal 4 6 2 7 3" xfId="6421" xr:uid="{00000000-0005-0000-0000-00004F160000}"/>
    <cellStyle name="Normal 4 6 2 7 3 2" xfId="15747" xr:uid="{4EE557E3-AC37-43CA-AEEB-D94D8C24205F}"/>
    <cellStyle name="Normal 4 6 2 7 3 3" xfId="24194" xr:uid="{F36CAB0B-F2AD-4CC5-9DA5-5397637658ED}"/>
    <cellStyle name="Normal 4 6 2 7 4" xfId="11530" xr:uid="{066ABEEF-E88E-4518-AB3D-7BC7C7797397}"/>
    <cellStyle name="Normal 4 6 2 7 5" xfId="19977" xr:uid="{E4B079F3-DA44-4E1C-AE27-1DB13B5AF3F6}"/>
    <cellStyle name="Normal 4 6 2 8" xfId="2551" xr:uid="{00000000-0005-0000-0000-000050160000}"/>
    <cellStyle name="Normal 4 6 2 8 2" xfId="6834" xr:uid="{00000000-0005-0000-0000-000051160000}"/>
    <cellStyle name="Normal 4 6 2 8 2 2" xfId="16160" xr:uid="{4FE767BC-3EA4-4667-9992-786411EB112C}"/>
    <cellStyle name="Normal 4 6 2 8 2 3" xfId="24607" xr:uid="{3685745C-6551-4890-A5D3-B08BCF69DC28}"/>
    <cellStyle name="Normal 4 6 2 8 3" xfId="11943" xr:uid="{63487540-EE2B-42B7-8790-E7D3EA85589C}"/>
    <cellStyle name="Normal 4 6 2 8 4" xfId="20390" xr:uid="{835B7D3B-7EE1-4CC4-B160-E0BE2101AAC4}"/>
    <cellStyle name="Normal 4 6 2 9" xfId="4769" xr:uid="{00000000-0005-0000-0000-000052160000}"/>
    <cellStyle name="Normal 4 6 2 9 2" xfId="14095" xr:uid="{34AAF564-EDB6-4C12-AA0F-F998479CA206}"/>
    <cellStyle name="Normal 4 6 2 9 3" xfId="22542" xr:uid="{6E6E4DE5-0418-40EF-9753-8475731BE9BE}"/>
    <cellStyle name="Normal 4 6 3" xfId="400" xr:uid="{00000000-0005-0000-0000-000053160000}"/>
    <cellStyle name="Normal 4 6 3 10" xfId="9882" xr:uid="{851E72A5-66AC-4F5B-B113-16066DE15A1E}"/>
    <cellStyle name="Normal 4 6 3 11" xfId="18329" xr:uid="{FC17731A-E18C-45D0-AEC5-A696FC309E33}"/>
    <cellStyle name="Normal 4 6 3 2" xfId="401" xr:uid="{00000000-0005-0000-0000-000054160000}"/>
    <cellStyle name="Normal 4 6 3 2 10" xfId="18330" xr:uid="{9BF317A0-6AA5-4883-97C2-0A33CA01680F}"/>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93DEB8EC-8953-419C-AB12-A0462A699657}"/>
    <cellStyle name="Normal 4 6 3 2 2 2 2 3" xfId="25105" xr:uid="{1FBFDE2D-C0E2-4930-AA9C-FEE2A9A58D82}"/>
    <cellStyle name="Normal 4 6 3 2 2 2 3" xfId="12441" xr:uid="{A8B2EA5F-B86F-4344-BE59-DF5B1C691523}"/>
    <cellStyle name="Normal 4 6 3 2 2 2 4" xfId="20888" xr:uid="{742E7E23-4316-48EF-B244-0587A42D7B8A}"/>
    <cellStyle name="Normal 4 6 3 2 2 3" xfId="5187" xr:uid="{00000000-0005-0000-0000-000058160000}"/>
    <cellStyle name="Normal 4 6 3 2 2 3 2" xfId="14513" xr:uid="{293E9823-A831-4B6A-A22E-CAD55604C5BC}"/>
    <cellStyle name="Normal 4 6 3 2 2 3 3" xfId="22960" xr:uid="{CB1600F0-B4E4-40C7-ACAC-3A9E8F5AFECF}"/>
    <cellStyle name="Normal 4 6 3 2 2 4" xfId="9507" xr:uid="{63E4C3EA-8BE6-4CDE-9E44-1D64049D4CF5}"/>
    <cellStyle name="Normal 4 6 3 2 2 5" xfId="10296" xr:uid="{EFA297C0-C599-4417-8F43-37B1675B43EA}"/>
    <cellStyle name="Normal 4 6 3 2 2 6" xfId="18743" xr:uid="{CF1DB721-BD06-4F0A-B5D7-882DB5B35B27}"/>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C169412D-1CB2-4F23-8CC8-115BDC4E0A30}"/>
    <cellStyle name="Normal 4 6 3 2 3 2 2 3" xfId="25518" xr:uid="{F3853B59-F696-4905-879D-8FB99045CEC2}"/>
    <cellStyle name="Normal 4 6 3 2 3 2 3" xfId="12854" xr:uid="{65AD265F-73DE-424F-91C2-86F02A2E1250}"/>
    <cellStyle name="Normal 4 6 3 2 3 2 4" xfId="21301" xr:uid="{44CFCFC1-A7D7-4CC4-A75D-0D5DD39812EC}"/>
    <cellStyle name="Normal 4 6 3 2 3 3" xfId="5600" xr:uid="{00000000-0005-0000-0000-00005C160000}"/>
    <cellStyle name="Normal 4 6 3 2 3 3 2" xfId="14926" xr:uid="{DD232B04-F2AC-4116-83C6-3866302E900F}"/>
    <cellStyle name="Normal 4 6 3 2 3 3 3" xfId="23373" xr:uid="{ECFFA9F4-F4C8-44BC-AA0F-DD67EE5395B5}"/>
    <cellStyle name="Normal 4 6 3 2 3 4" xfId="10709" xr:uid="{4A497700-D0B8-4F83-BEAA-231A1457D098}"/>
    <cellStyle name="Normal 4 6 3 2 3 5" xfId="19156" xr:uid="{AE7A85D8-0089-47C9-8EF3-433AEE4D5023}"/>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CFEF8ABC-3171-4C02-A1D0-837FB5758081}"/>
    <cellStyle name="Normal 4 6 3 2 4 2 2 3" xfId="25931" xr:uid="{BB13B434-B34C-427A-9B2B-7160B43B0A4D}"/>
    <cellStyle name="Normal 4 6 3 2 4 2 3" xfId="13267" xr:uid="{689975BE-DD41-4C85-96DB-60A03A52D772}"/>
    <cellStyle name="Normal 4 6 3 2 4 2 4" xfId="21714" xr:uid="{A88CA8FE-BB52-4E27-9E21-0F1C2DAC773A}"/>
    <cellStyle name="Normal 4 6 3 2 4 3" xfId="6013" xr:uid="{00000000-0005-0000-0000-000060160000}"/>
    <cellStyle name="Normal 4 6 3 2 4 3 2" xfId="15339" xr:uid="{28A4AAC4-30C2-41E2-A3C0-95E8A780ABBB}"/>
    <cellStyle name="Normal 4 6 3 2 4 3 3" xfId="23786" xr:uid="{340840B4-B7FD-45C8-B8AA-71C4CA7F023B}"/>
    <cellStyle name="Normal 4 6 3 2 4 4" xfId="11122" xr:uid="{C877EA15-72F0-4CD4-A2D9-5C0C33672A22}"/>
    <cellStyle name="Normal 4 6 3 2 4 5" xfId="19569" xr:uid="{FC9D43E5-0446-4063-91DA-8307638CD9C6}"/>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982F5B17-D972-49BC-B1BF-C6DE8F1AE365}"/>
    <cellStyle name="Normal 4 6 3 2 5 2 2 3" xfId="26344" xr:uid="{24C0CB10-ADB7-4690-9FE5-B34D1ACC6CBA}"/>
    <cellStyle name="Normal 4 6 3 2 5 2 3" xfId="13680" xr:uid="{049191E1-9EF2-4CAA-91E8-FEC6382CEA3A}"/>
    <cellStyle name="Normal 4 6 3 2 5 2 4" xfId="22127" xr:uid="{978221DB-0447-473A-985A-4BC4997E126A}"/>
    <cellStyle name="Normal 4 6 3 2 5 3" xfId="6426" xr:uid="{00000000-0005-0000-0000-000064160000}"/>
    <cellStyle name="Normal 4 6 3 2 5 3 2" xfId="15752" xr:uid="{B1D2EF1C-B62D-4CE9-B3A9-85AF04FC47AC}"/>
    <cellStyle name="Normal 4 6 3 2 5 3 3" xfId="24199" xr:uid="{14C8BD17-F415-4847-88D6-0F8C952F0261}"/>
    <cellStyle name="Normal 4 6 3 2 5 4" xfId="11535" xr:uid="{84F5DD7C-5216-4FA0-84BB-906F716B1D5E}"/>
    <cellStyle name="Normal 4 6 3 2 5 5" xfId="19982" xr:uid="{D9A8AA0F-0254-4D41-811F-324187AFCF6D}"/>
    <cellStyle name="Normal 4 6 3 2 6" xfId="2556" xr:uid="{00000000-0005-0000-0000-000065160000}"/>
    <cellStyle name="Normal 4 6 3 2 6 2" xfId="6839" xr:uid="{00000000-0005-0000-0000-000066160000}"/>
    <cellStyle name="Normal 4 6 3 2 6 2 2" xfId="16165" xr:uid="{D5CA8545-CBAA-48B4-B621-9FDF3CA2C6EE}"/>
    <cellStyle name="Normal 4 6 3 2 6 2 3" xfId="24612" xr:uid="{4F5ED4E4-73C1-443F-A23E-511C137C4844}"/>
    <cellStyle name="Normal 4 6 3 2 6 3" xfId="11948" xr:uid="{50E555DB-D3A1-4E87-BEC7-9AD8CB2D68B4}"/>
    <cellStyle name="Normal 4 6 3 2 6 4" xfId="20395" xr:uid="{7C8F759C-CC13-407F-98E9-11793F0FBA00}"/>
    <cellStyle name="Normal 4 6 3 2 7" xfId="4774" xr:uid="{00000000-0005-0000-0000-000067160000}"/>
    <cellStyle name="Normal 4 6 3 2 7 2" xfId="14100" xr:uid="{C69B7FFC-DE7E-4FD4-916D-F2FC36BE3414}"/>
    <cellStyle name="Normal 4 6 3 2 7 3" xfId="22547" xr:uid="{5C711136-3B71-477A-BDF1-F045D4E6D1C9}"/>
    <cellStyle name="Normal 4 6 3 2 8" xfId="9082" xr:uid="{B272D1AE-3713-4AD0-AE3F-D1A7344AD432}"/>
    <cellStyle name="Normal 4 6 3 2 9" xfId="9883" xr:uid="{F47689B6-3AFA-469C-8B15-8E1D2B560106}"/>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1E8E1A91-137F-4AEA-A4CC-754481FF3B41}"/>
    <cellStyle name="Normal 4 6 3 3 2 2 3" xfId="25104" xr:uid="{78F1E5F9-4E12-4204-88CF-0949128AB9B3}"/>
    <cellStyle name="Normal 4 6 3 3 2 3" xfId="12440" xr:uid="{3DE122CB-B3C9-4005-A43D-84DE39552E9A}"/>
    <cellStyle name="Normal 4 6 3 3 2 4" xfId="20887" xr:uid="{E46D37BC-A112-49C6-A821-A5F4D21C20CD}"/>
    <cellStyle name="Normal 4 6 3 3 3" xfId="5186" xr:uid="{00000000-0005-0000-0000-00006B160000}"/>
    <cellStyle name="Normal 4 6 3 3 3 2" xfId="14512" xr:uid="{A08F67F7-7697-4B77-B0BE-DF2A8903BCC4}"/>
    <cellStyle name="Normal 4 6 3 3 3 3" xfId="22959" xr:uid="{7855F3D4-0A60-4ADF-84BE-30D8B10D9FD3}"/>
    <cellStyle name="Normal 4 6 3 3 4" xfId="9300" xr:uid="{955A2E97-C871-4115-A4F5-A642AE2D2C4B}"/>
    <cellStyle name="Normal 4 6 3 3 5" xfId="10295" xr:uid="{E6A209C6-DECB-4AD3-9825-00C988A17949}"/>
    <cellStyle name="Normal 4 6 3 3 6" xfId="18742" xr:uid="{7B88907E-C94A-4F35-9D0F-10616199D655}"/>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032D6246-5ABF-4EC9-99FF-B2BC26E2CA04}"/>
    <cellStyle name="Normal 4 6 3 4 2 2 3" xfId="25517" xr:uid="{9CFA9BE3-A1AE-4A1B-8FC9-AAD3448308B7}"/>
    <cellStyle name="Normal 4 6 3 4 2 3" xfId="12853" xr:uid="{365CAF08-B663-478C-BAE5-8E9D5250E163}"/>
    <cellStyle name="Normal 4 6 3 4 2 4" xfId="21300" xr:uid="{314B021F-8002-471C-AB18-A7F8E93E7928}"/>
    <cellStyle name="Normal 4 6 3 4 3" xfId="5599" xr:uid="{00000000-0005-0000-0000-00006F160000}"/>
    <cellStyle name="Normal 4 6 3 4 3 2" xfId="14925" xr:uid="{6895830A-7F58-4116-A265-E96250C6DF46}"/>
    <cellStyle name="Normal 4 6 3 4 3 3" xfId="23372" xr:uid="{92D2C73E-AAF9-41B5-8D2E-3643437D86BE}"/>
    <cellStyle name="Normal 4 6 3 4 4" xfId="10708" xr:uid="{6FE50FCB-D123-4A21-81D1-CD324D09844B}"/>
    <cellStyle name="Normal 4 6 3 4 5" xfId="19155" xr:uid="{523D2332-2AC2-4342-B8D9-1B0ED76AF547}"/>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AB58A089-526C-4E6A-9570-F3677564828E}"/>
    <cellStyle name="Normal 4 6 3 5 2 2 3" xfId="25930" xr:uid="{7D25FD09-FF88-4408-957F-AC7DB2860225}"/>
    <cellStyle name="Normal 4 6 3 5 2 3" xfId="13266" xr:uid="{1C5437DE-A059-4F92-8E19-CEA855B32DF5}"/>
    <cellStyle name="Normal 4 6 3 5 2 4" xfId="21713" xr:uid="{2233FD92-ADFA-4DDE-9951-DAF73885C712}"/>
    <cellStyle name="Normal 4 6 3 5 3" xfId="6012" xr:uid="{00000000-0005-0000-0000-000073160000}"/>
    <cellStyle name="Normal 4 6 3 5 3 2" xfId="15338" xr:uid="{19905F1A-9F07-4D7D-B058-66F149A85496}"/>
    <cellStyle name="Normal 4 6 3 5 3 3" xfId="23785" xr:uid="{625D3CC1-9C97-44AF-9220-975F794144F6}"/>
    <cellStyle name="Normal 4 6 3 5 4" xfId="11121" xr:uid="{B7BF0CB7-1C3E-4351-B596-6B90AC190B0F}"/>
    <cellStyle name="Normal 4 6 3 5 5" xfId="19568" xr:uid="{CC015B59-A0C7-42D6-B852-D79405D61C85}"/>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80D2103B-0E9D-4F40-A411-857C98112350}"/>
    <cellStyle name="Normal 4 6 3 6 2 2 3" xfId="26343" xr:uid="{F32ADF7B-0486-4894-8CD6-67027EEB9013}"/>
    <cellStyle name="Normal 4 6 3 6 2 3" xfId="13679" xr:uid="{FA7A7A57-E2ED-4BF1-AB52-8D6A57B75949}"/>
    <cellStyle name="Normal 4 6 3 6 2 4" xfId="22126" xr:uid="{21953538-276A-470B-BFFC-8A1C17CABEC5}"/>
    <cellStyle name="Normal 4 6 3 6 3" xfId="6425" xr:uid="{00000000-0005-0000-0000-000077160000}"/>
    <cellStyle name="Normal 4 6 3 6 3 2" xfId="15751" xr:uid="{AAD52A0C-449B-4FAC-BC4F-3D8DBD385E81}"/>
    <cellStyle name="Normal 4 6 3 6 3 3" xfId="24198" xr:uid="{24448E15-7BCC-42FB-84EE-F292E715CC07}"/>
    <cellStyle name="Normal 4 6 3 6 4" xfId="11534" xr:uid="{FB631FEA-5E3C-4CFD-86A7-B26225B1C75E}"/>
    <cellStyle name="Normal 4 6 3 6 5" xfId="19981" xr:uid="{D379EF60-3245-431C-950F-CE68D646095B}"/>
    <cellStyle name="Normal 4 6 3 7" xfId="2555" xr:uid="{00000000-0005-0000-0000-000078160000}"/>
    <cellStyle name="Normal 4 6 3 7 2" xfId="6838" xr:uid="{00000000-0005-0000-0000-000079160000}"/>
    <cellStyle name="Normal 4 6 3 7 2 2" xfId="16164" xr:uid="{A1FD8241-2353-4000-90B5-0B9FD5A261DC}"/>
    <cellStyle name="Normal 4 6 3 7 2 3" xfId="24611" xr:uid="{A8512511-3AB9-4EA3-A0A7-F8E779091027}"/>
    <cellStyle name="Normal 4 6 3 7 3" xfId="11947" xr:uid="{1707728B-EB37-41EF-9B12-A8C00A612712}"/>
    <cellStyle name="Normal 4 6 3 7 4" xfId="20394" xr:uid="{9EF21B31-6404-497E-8D89-893305A1A4F4}"/>
    <cellStyle name="Normal 4 6 3 8" xfId="4773" xr:uid="{00000000-0005-0000-0000-00007A160000}"/>
    <cellStyle name="Normal 4 6 3 8 2" xfId="14099" xr:uid="{873CAA11-76A0-4022-9CD2-EBB169CB185B}"/>
    <cellStyle name="Normal 4 6 3 8 3" xfId="22546" xr:uid="{45DFF638-D435-4BCF-9F2B-8E050C2C4EEC}"/>
    <cellStyle name="Normal 4 6 3 9" xfId="8875" xr:uid="{DFD24C28-B729-444D-A0F6-B5522ED354D5}"/>
    <cellStyle name="Normal 4 6 4" xfId="402" xr:uid="{00000000-0005-0000-0000-00007B160000}"/>
    <cellStyle name="Normal 4 6 4 10" xfId="18331" xr:uid="{D9345DD1-3B6B-4074-B61E-3E74F0B5FF67}"/>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55BE2D2F-BCD2-46A1-B172-4F8664516C1B}"/>
    <cellStyle name="Normal 4 6 4 2 2 2 3" xfId="25106" xr:uid="{1AF5D61B-5B7F-4D7D-84F1-EF6FA29FD9A3}"/>
    <cellStyle name="Normal 4 6 4 2 2 3" xfId="12442" xr:uid="{6048FD81-1ECE-4C36-8B30-0B8B15FD3ABF}"/>
    <cellStyle name="Normal 4 6 4 2 2 4" xfId="20889" xr:uid="{5B4422F1-BB59-463C-9375-03D602B640FC}"/>
    <cellStyle name="Normal 4 6 4 2 3" xfId="5188" xr:uid="{00000000-0005-0000-0000-00007F160000}"/>
    <cellStyle name="Normal 4 6 4 2 3 2" xfId="14514" xr:uid="{8F5343B5-AB23-4C1E-B7C4-84EFCBF4869E}"/>
    <cellStyle name="Normal 4 6 4 2 3 3" xfId="22961" xr:uid="{87B05993-0113-41F9-9708-E1D4B3D885DC}"/>
    <cellStyle name="Normal 4 6 4 2 4" xfId="9404" xr:uid="{D1BAB6D6-35EF-4C34-91EA-2EB17352CDF9}"/>
    <cellStyle name="Normal 4 6 4 2 5" xfId="10297" xr:uid="{C8970D53-1EFB-49E7-B825-8E3042D1B509}"/>
    <cellStyle name="Normal 4 6 4 2 6" xfId="18744" xr:uid="{1755901E-5DFF-4033-ACF5-07D499805F11}"/>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485CDB52-3AA0-496D-9EB2-2BA64BC79793}"/>
    <cellStyle name="Normal 4 6 4 3 2 2 3" xfId="25519" xr:uid="{462700EC-F5B1-4D28-9DA9-B6BF7625E751}"/>
    <cellStyle name="Normal 4 6 4 3 2 3" xfId="12855" xr:uid="{15870C49-60B7-4D62-84A9-A03C138B7A60}"/>
    <cellStyle name="Normal 4 6 4 3 2 4" xfId="21302" xr:uid="{55314B3F-BA16-4E34-9A05-31336AECFFB5}"/>
    <cellStyle name="Normal 4 6 4 3 3" xfId="5601" xr:uid="{00000000-0005-0000-0000-000083160000}"/>
    <cellStyle name="Normal 4 6 4 3 3 2" xfId="14927" xr:uid="{D1FC11DF-CC6D-4329-9BEF-3983E342CAE9}"/>
    <cellStyle name="Normal 4 6 4 3 3 3" xfId="23374" xr:uid="{E985AFD9-D84A-4592-AC00-92605AF37DFC}"/>
    <cellStyle name="Normal 4 6 4 3 4" xfId="10710" xr:uid="{470F6110-F972-479D-8D1B-C3C7FBAEB582}"/>
    <cellStyle name="Normal 4 6 4 3 5" xfId="19157" xr:uid="{FB9E9A1F-30D1-40FD-9AF4-86A773A6ACFA}"/>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562ACD38-34F8-4247-8EF6-0AE7F8000261}"/>
    <cellStyle name="Normal 4 6 4 4 2 2 3" xfId="25932" xr:uid="{D5575BDA-ED6C-4426-93DE-18B451FC6339}"/>
    <cellStyle name="Normal 4 6 4 4 2 3" xfId="13268" xr:uid="{5664ADE0-F21A-40AD-A8FB-E54403CDC752}"/>
    <cellStyle name="Normal 4 6 4 4 2 4" xfId="21715" xr:uid="{E3015582-00E5-4995-B8D3-8439C6A2A820}"/>
    <cellStyle name="Normal 4 6 4 4 3" xfId="6014" xr:uid="{00000000-0005-0000-0000-000087160000}"/>
    <cellStyle name="Normal 4 6 4 4 3 2" xfId="15340" xr:uid="{42048B8E-3D9D-44F7-86CB-B8A07D39BE1E}"/>
    <cellStyle name="Normal 4 6 4 4 3 3" xfId="23787" xr:uid="{44AA3772-3091-449D-A63D-DD7B9FD82198}"/>
    <cellStyle name="Normal 4 6 4 4 4" xfId="11123" xr:uid="{FB83E26E-3B84-4B0C-A0CC-CE0A0FD2185E}"/>
    <cellStyle name="Normal 4 6 4 4 5" xfId="19570" xr:uid="{40F07202-7182-4EC7-AA91-F7F1C60D8EE4}"/>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D1C3A9C5-A14A-4130-9315-E9C16C14998B}"/>
    <cellStyle name="Normal 4 6 4 5 2 2 3" xfId="26345" xr:uid="{D69C8496-E672-46FE-8879-EB585FFC5BEE}"/>
    <cellStyle name="Normal 4 6 4 5 2 3" xfId="13681" xr:uid="{5C954545-13C5-41A1-BAF4-7C77F25950B2}"/>
    <cellStyle name="Normal 4 6 4 5 2 4" xfId="22128" xr:uid="{CD3F57AA-6BFA-468C-B8FB-22329FE5EA90}"/>
    <cellStyle name="Normal 4 6 4 5 3" xfId="6427" xr:uid="{00000000-0005-0000-0000-00008B160000}"/>
    <cellStyle name="Normal 4 6 4 5 3 2" xfId="15753" xr:uid="{5E76F3ED-1941-4AA9-9CA4-E7353AF35BB2}"/>
    <cellStyle name="Normal 4 6 4 5 3 3" xfId="24200" xr:uid="{6278F853-AFC8-4A9F-8686-6E407C091A80}"/>
    <cellStyle name="Normal 4 6 4 5 4" xfId="11536" xr:uid="{76DD4774-BAB0-4D49-9485-7DAEBB3535F4}"/>
    <cellStyle name="Normal 4 6 4 5 5" xfId="19983" xr:uid="{9732C0B7-106B-4CB6-91AB-B811312C8450}"/>
    <cellStyle name="Normal 4 6 4 6" xfId="2557" xr:uid="{00000000-0005-0000-0000-00008C160000}"/>
    <cellStyle name="Normal 4 6 4 6 2" xfId="6840" xr:uid="{00000000-0005-0000-0000-00008D160000}"/>
    <cellStyle name="Normal 4 6 4 6 2 2" xfId="16166" xr:uid="{4292C367-F05A-46E2-8904-5B1FA9359C58}"/>
    <cellStyle name="Normal 4 6 4 6 2 3" xfId="24613" xr:uid="{E037D68C-00F7-492A-973B-15403350A032}"/>
    <cellStyle name="Normal 4 6 4 6 3" xfId="11949" xr:uid="{9D65B03C-C51A-4B1F-B643-240728C2D0C0}"/>
    <cellStyle name="Normal 4 6 4 6 4" xfId="20396" xr:uid="{F69BABB6-C739-4739-AF49-D68E894467A9}"/>
    <cellStyle name="Normal 4 6 4 7" xfId="4775" xr:uid="{00000000-0005-0000-0000-00008E160000}"/>
    <cellStyle name="Normal 4 6 4 7 2" xfId="14101" xr:uid="{E1D995FB-9DA1-407F-B82C-335E3292AB68}"/>
    <cellStyle name="Normal 4 6 4 7 3" xfId="22548" xr:uid="{8BCFAAA6-388F-490F-A656-9238F5BD9551}"/>
    <cellStyle name="Normal 4 6 4 8" xfId="8979" xr:uid="{358D1440-F461-4509-8416-8F78F7D13FF4}"/>
    <cellStyle name="Normal 4 6 4 9" xfId="9884" xr:uid="{28765904-549A-45CC-895D-3DE8ECE8ACEB}"/>
    <cellStyle name="Normal 4 6 5" xfId="869" xr:uid="{00000000-0005-0000-0000-00008F160000}"/>
    <cellStyle name="Normal 4 6 5 2" xfId="3104" xr:uid="{00000000-0005-0000-0000-000090160000}"/>
    <cellStyle name="Normal 4 6 5 2 2" xfId="7326" xr:uid="{00000000-0005-0000-0000-000091160000}"/>
    <cellStyle name="Normal 4 6 5 2 2 2" xfId="16652" xr:uid="{2A8F9354-4194-4A6A-A9B9-08C0F80A6BED}"/>
    <cellStyle name="Normal 4 6 5 2 2 3" xfId="25099" xr:uid="{394CF958-9FEE-435D-BC04-84F73B563949}"/>
    <cellStyle name="Normal 4 6 5 2 3" xfId="12435" xr:uid="{0D91B5C5-72F9-4B62-97CD-DA167ACD1C76}"/>
    <cellStyle name="Normal 4 6 5 2 4" xfId="20882" xr:uid="{751E12D1-E5B9-43FC-B518-5A2C2A02B98A}"/>
    <cellStyle name="Normal 4 6 5 3" xfId="5181" xr:uid="{00000000-0005-0000-0000-000092160000}"/>
    <cellStyle name="Normal 4 6 5 3 2" xfId="14507" xr:uid="{A3786BB7-028C-4742-8576-8C140F79A645}"/>
    <cellStyle name="Normal 4 6 5 3 3" xfId="22954" xr:uid="{41B4AFA1-22FD-4E45-B1CA-5B965E74DF12}"/>
    <cellStyle name="Normal 4 6 5 4" xfId="9196" xr:uid="{8DF5D81E-BEC3-4373-A99C-2D9CDEEBBA3C}"/>
    <cellStyle name="Normal 4 6 5 5" xfId="10290" xr:uid="{148DF025-7A24-4CDD-ABF7-AED45BD73C04}"/>
    <cellStyle name="Normal 4 6 5 6" xfId="18737" xr:uid="{A5E1193C-1864-45CE-8FDD-0FE4780F21CD}"/>
    <cellStyle name="Normal 4 6 6" xfId="1287" xr:uid="{00000000-0005-0000-0000-000093160000}"/>
    <cellStyle name="Normal 4 6 6 2" xfId="3517" xr:uid="{00000000-0005-0000-0000-000094160000}"/>
    <cellStyle name="Normal 4 6 6 2 2" xfId="7739" xr:uid="{00000000-0005-0000-0000-000095160000}"/>
    <cellStyle name="Normal 4 6 6 2 2 2" xfId="17065" xr:uid="{E8ADEB99-859A-4B9F-98DD-91B2A07405F8}"/>
    <cellStyle name="Normal 4 6 6 2 2 3" xfId="25512" xr:uid="{E842D8A9-A6BF-4CB4-B0ED-450F8EB42101}"/>
    <cellStyle name="Normal 4 6 6 2 3" xfId="12848" xr:uid="{5E8AE43D-164F-45C9-AB89-31293AA44220}"/>
    <cellStyle name="Normal 4 6 6 2 4" xfId="21295" xr:uid="{2D3F3EF6-28D8-4937-9A87-DBA3B04A3618}"/>
    <cellStyle name="Normal 4 6 6 3" xfId="5594" xr:uid="{00000000-0005-0000-0000-000096160000}"/>
    <cellStyle name="Normal 4 6 6 3 2" xfId="14920" xr:uid="{642296F8-8D61-48E9-A487-02895B2661F9}"/>
    <cellStyle name="Normal 4 6 6 3 3" xfId="23367" xr:uid="{F89D4B04-B99B-433E-B5F4-52DAA8E91EC6}"/>
    <cellStyle name="Normal 4 6 6 4" xfId="10703" xr:uid="{03F95410-3A34-4623-B198-97DAD24900FA}"/>
    <cellStyle name="Normal 4 6 6 5" xfId="19150" xr:uid="{9F7B605B-1215-4E4D-9D4B-BA1A8C8ED341}"/>
    <cellStyle name="Normal 4 6 7" xfId="1700" xr:uid="{00000000-0005-0000-0000-000097160000}"/>
    <cellStyle name="Normal 4 6 7 2" xfId="3930" xr:uid="{00000000-0005-0000-0000-000098160000}"/>
    <cellStyle name="Normal 4 6 7 2 2" xfId="8152" xr:uid="{00000000-0005-0000-0000-000099160000}"/>
    <cellStyle name="Normal 4 6 7 2 2 2" xfId="17478" xr:uid="{68D02806-2067-4E29-8FE6-5974EB70AB80}"/>
    <cellStyle name="Normal 4 6 7 2 2 3" xfId="25925" xr:uid="{C62B05AC-6025-498D-87A6-407E609B3029}"/>
    <cellStyle name="Normal 4 6 7 2 3" xfId="13261" xr:uid="{481D2D6C-AC4F-4BE8-A2B7-857CCA5B80B4}"/>
    <cellStyle name="Normal 4 6 7 2 4" xfId="21708" xr:uid="{A8F68069-2E9D-4E0A-AAF6-524172B4EF1A}"/>
    <cellStyle name="Normal 4 6 7 3" xfId="6007" xr:uid="{00000000-0005-0000-0000-00009A160000}"/>
    <cellStyle name="Normal 4 6 7 3 2" xfId="15333" xr:uid="{311BD722-E939-402A-80FD-72C32EA3EFBD}"/>
    <cellStyle name="Normal 4 6 7 3 3" xfId="23780" xr:uid="{1FCFEB92-552C-4A85-B3C0-FC92F814CB67}"/>
    <cellStyle name="Normal 4 6 7 4" xfId="11116" xr:uid="{C4E86912-68EE-4900-A40F-8F45045CB16A}"/>
    <cellStyle name="Normal 4 6 7 5" xfId="19563" xr:uid="{1A45EA3C-7C23-440F-972D-3169A75A6982}"/>
    <cellStyle name="Normal 4 6 8" xfId="2114" xr:uid="{00000000-0005-0000-0000-00009B160000}"/>
    <cellStyle name="Normal 4 6 8 2" xfId="4343" xr:uid="{00000000-0005-0000-0000-00009C160000}"/>
    <cellStyle name="Normal 4 6 8 2 2" xfId="8565" xr:uid="{00000000-0005-0000-0000-00009D160000}"/>
    <cellStyle name="Normal 4 6 8 2 2 2" xfId="17891" xr:uid="{2A348DE6-3CEB-4550-A729-B1CB2DB6380C}"/>
    <cellStyle name="Normal 4 6 8 2 2 3" xfId="26338" xr:uid="{417DC4B2-5DD1-43FA-B7A6-292B21D686B8}"/>
    <cellStyle name="Normal 4 6 8 2 3" xfId="13674" xr:uid="{0275B0FA-99D7-4BB7-8280-F7EBD49AF9D1}"/>
    <cellStyle name="Normal 4 6 8 2 4" xfId="22121" xr:uid="{CEB428AE-219B-4665-B350-0683CC72DEAD}"/>
    <cellStyle name="Normal 4 6 8 3" xfId="6420" xr:uid="{00000000-0005-0000-0000-00009E160000}"/>
    <cellStyle name="Normal 4 6 8 3 2" xfId="15746" xr:uid="{B6E40AE5-0F8F-49FD-B496-62FF9A85CB88}"/>
    <cellStyle name="Normal 4 6 8 3 3" xfId="24193" xr:uid="{B78946CB-2412-4E12-92B8-F289245849C4}"/>
    <cellStyle name="Normal 4 6 8 4" xfId="11529" xr:uid="{D482EFA6-8281-464D-84AC-545FD54BB9E0}"/>
    <cellStyle name="Normal 4 6 8 5" xfId="19976" xr:uid="{3BE0D5AE-7E2B-4CBD-9A09-53745B068D26}"/>
    <cellStyle name="Normal 4 6 9" xfId="2550" xr:uid="{00000000-0005-0000-0000-00009F160000}"/>
    <cellStyle name="Normal 4 6 9 2" xfId="6833" xr:uid="{00000000-0005-0000-0000-0000A0160000}"/>
    <cellStyle name="Normal 4 6 9 2 2" xfId="16159" xr:uid="{03FC063B-C573-4743-AFFE-2B72AB97B4AE}"/>
    <cellStyle name="Normal 4 6 9 2 3" xfId="24606" xr:uid="{A147CA90-E4EC-4B96-8508-7B6DEC7A41D6}"/>
    <cellStyle name="Normal 4 6 9 3" xfId="11942" xr:uid="{70933F4C-1414-41F8-B811-EB91408B4AC6}"/>
    <cellStyle name="Normal 4 6 9 4" xfId="20389" xr:uid="{0BCD7A7E-0B4D-4AFD-A415-92235AC374A5}"/>
    <cellStyle name="Normal 4 7" xfId="403" xr:uid="{00000000-0005-0000-0000-0000A1160000}"/>
    <cellStyle name="Normal 4 7 10" xfId="9885" xr:uid="{51FBF36C-A7FE-4D01-B7A5-539807156ABC}"/>
    <cellStyle name="Normal 4 7 11" xfId="18332" xr:uid="{F548D3A9-BCF1-409B-9B5F-7FEE960C0B68}"/>
    <cellStyle name="Normal 4 7 2" xfId="404" xr:uid="{00000000-0005-0000-0000-0000A2160000}"/>
    <cellStyle name="Normal 4 7 2 10" xfId="18333" xr:uid="{C603D3C0-7E79-45FC-8C21-9AF0BE17044F}"/>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5191D926-CEAF-41AA-AC8E-6AB60F4C3FCB}"/>
    <cellStyle name="Normal 4 7 2 2 2 2 3" xfId="25108" xr:uid="{D1AA619E-CA81-4164-B7B5-51412AAC1CE4}"/>
    <cellStyle name="Normal 4 7 2 2 2 3" xfId="12444" xr:uid="{AFE827DB-4B36-4E58-9B22-F6FB6DD3EE56}"/>
    <cellStyle name="Normal 4 7 2 2 2 4" xfId="20891" xr:uid="{C82CAD35-F0E9-407E-9B3C-089F34E9882D}"/>
    <cellStyle name="Normal 4 7 2 2 3" xfId="5190" xr:uid="{00000000-0005-0000-0000-0000A6160000}"/>
    <cellStyle name="Normal 4 7 2 2 3 2" xfId="14516" xr:uid="{FE6D3089-C823-4135-8397-9CC96822058B}"/>
    <cellStyle name="Normal 4 7 2 2 3 3" xfId="22963" xr:uid="{05DADAB8-3B1B-40DA-BB1D-91E18EB8872E}"/>
    <cellStyle name="Normal 4 7 2 2 4" xfId="9475" xr:uid="{1E309EF6-7D7C-4A4D-B2F1-E00D0CF6E167}"/>
    <cellStyle name="Normal 4 7 2 2 5" xfId="10299" xr:uid="{8A297FA0-2010-4FA7-B113-C4F51F2DC26A}"/>
    <cellStyle name="Normal 4 7 2 2 6" xfId="18746" xr:uid="{E41DE8B6-D798-4A8A-998D-1529917EB4AB}"/>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E6FD65A2-C936-4EB8-B2C1-5E5D33F31E3D}"/>
    <cellStyle name="Normal 4 7 2 3 2 2 3" xfId="25521" xr:uid="{B6ECC052-E311-4C45-BF05-138B8BB5ABA9}"/>
    <cellStyle name="Normal 4 7 2 3 2 3" xfId="12857" xr:uid="{333743A2-DEE2-4E86-94BD-E70CB5BEB700}"/>
    <cellStyle name="Normal 4 7 2 3 2 4" xfId="21304" xr:uid="{754B0677-06A4-4CAF-A8E7-73512EC68737}"/>
    <cellStyle name="Normal 4 7 2 3 3" xfId="5603" xr:uid="{00000000-0005-0000-0000-0000AA160000}"/>
    <cellStyle name="Normal 4 7 2 3 3 2" xfId="14929" xr:uid="{0445951F-D199-4F8A-8AA4-AD381D5FC99E}"/>
    <cellStyle name="Normal 4 7 2 3 3 3" xfId="23376" xr:uid="{42E564DD-1616-4567-AC92-45EC4A0D8ED6}"/>
    <cellStyle name="Normal 4 7 2 3 4" xfId="10712" xr:uid="{D35A2D2D-0D1A-4FD1-89FB-C8C62F2B78CE}"/>
    <cellStyle name="Normal 4 7 2 3 5" xfId="19159" xr:uid="{AD5C96E8-EE6F-46C7-842E-E1BEF7EDFAE3}"/>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71ACD613-73C5-4CA2-9AFF-F96796FF8A0E}"/>
    <cellStyle name="Normal 4 7 2 4 2 2 3" xfId="25934" xr:uid="{97EDA8A2-CC16-4EBF-810A-0B28479B7748}"/>
    <cellStyle name="Normal 4 7 2 4 2 3" xfId="13270" xr:uid="{0F576CE5-170A-4FAB-A5EF-1705D64C1931}"/>
    <cellStyle name="Normal 4 7 2 4 2 4" xfId="21717" xr:uid="{5BFABD95-AAAE-470D-B59D-E3AE4CE6A38D}"/>
    <cellStyle name="Normal 4 7 2 4 3" xfId="6016" xr:uid="{00000000-0005-0000-0000-0000AE160000}"/>
    <cellStyle name="Normal 4 7 2 4 3 2" xfId="15342" xr:uid="{118CCF6D-E233-48CE-9E1F-E5CFA3689360}"/>
    <cellStyle name="Normal 4 7 2 4 3 3" xfId="23789" xr:uid="{E9E941B1-7DB3-4F6A-9E4A-5353EFE4F492}"/>
    <cellStyle name="Normal 4 7 2 4 4" xfId="11125" xr:uid="{C2CC7C71-B300-47F6-AAEE-AF72491C60F1}"/>
    <cellStyle name="Normal 4 7 2 4 5" xfId="19572" xr:uid="{9E557721-9803-49E2-A9B2-1BD6572BB3A7}"/>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B25FA4C2-81CB-4C3E-8502-26D3FA27B777}"/>
    <cellStyle name="Normal 4 7 2 5 2 2 3" xfId="26347" xr:uid="{214AB62C-B023-4669-9DB1-379E144C8620}"/>
    <cellStyle name="Normal 4 7 2 5 2 3" xfId="13683" xr:uid="{4518171C-7335-4334-99EC-14F7A4DA380F}"/>
    <cellStyle name="Normal 4 7 2 5 2 4" xfId="22130" xr:uid="{C6C28AEF-33C9-443C-8AE5-0EBA70D5563F}"/>
    <cellStyle name="Normal 4 7 2 5 3" xfId="6429" xr:uid="{00000000-0005-0000-0000-0000B2160000}"/>
    <cellStyle name="Normal 4 7 2 5 3 2" xfId="15755" xr:uid="{26F734D6-5B63-4740-ADBB-4ACF71BAFF2C}"/>
    <cellStyle name="Normal 4 7 2 5 3 3" xfId="24202" xr:uid="{6E1C341D-B288-4187-A983-9903401C102D}"/>
    <cellStyle name="Normal 4 7 2 5 4" xfId="11538" xr:uid="{3B924239-F75F-4283-A064-AE5E7AE1969E}"/>
    <cellStyle name="Normal 4 7 2 5 5" xfId="19985" xr:uid="{1AEDAFEC-5F01-4BF4-A409-F080433BDD10}"/>
    <cellStyle name="Normal 4 7 2 6" xfId="2559" xr:uid="{00000000-0005-0000-0000-0000B3160000}"/>
    <cellStyle name="Normal 4 7 2 6 2" xfId="6842" xr:uid="{00000000-0005-0000-0000-0000B4160000}"/>
    <cellStyle name="Normal 4 7 2 6 2 2" xfId="16168" xr:uid="{46AB1E1B-2F13-43AA-870D-082E20D2729B}"/>
    <cellStyle name="Normal 4 7 2 6 2 3" xfId="24615" xr:uid="{378B9085-7C8B-4768-95D2-7B6958747E62}"/>
    <cellStyle name="Normal 4 7 2 6 3" xfId="11951" xr:uid="{988D561B-B0B3-47D3-A813-9371937D47D7}"/>
    <cellStyle name="Normal 4 7 2 6 4" xfId="20398" xr:uid="{A70DCE84-17E3-43CE-8E91-E4FA154A4FE9}"/>
    <cellStyle name="Normal 4 7 2 7" xfId="4777" xr:uid="{00000000-0005-0000-0000-0000B5160000}"/>
    <cellStyle name="Normal 4 7 2 7 2" xfId="14103" xr:uid="{646B9C9A-AFD2-4109-A564-8E216E1E6BCB}"/>
    <cellStyle name="Normal 4 7 2 7 3" xfId="22550" xr:uid="{9C65A6F8-D3B1-4324-8E14-42A239F506D9}"/>
    <cellStyle name="Normal 4 7 2 8" xfId="9050" xr:uid="{C18A0BCD-6C40-47C4-AC72-E06914F008F6}"/>
    <cellStyle name="Normal 4 7 2 9" xfId="9886" xr:uid="{4DB5F869-DBD6-4840-9F32-F40E41CADCF2}"/>
    <cellStyle name="Normal 4 7 3" xfId="877" xr:uid="{00000000-0005-0000-0000-0000B6160000}"/>
    <cellStyle name="Normal 4 7 3 2" xfId="3112" xr:uid="{00000000-0005-0000-0000-0000B7160000}"/>
    <cellStyle name="Normal 4 7 3 2 2" xfId="7334" xr:uid="{00000000-0005-0000-0000-0000B8160000}"/>
    <cellStyle name="Normal 4 7 3 2 2 2" xfId="16660" xr:uid="{FB835C38-D393-44FD-8CF2-5AE2C6B7A63E}"/>
    <cellStyle name="Normal 4 7 3 2 2 3" xfId="25107" xr:uid="{3E1B8E49-6044-495B-9943-CFFCEFF94ED6}"/>
    <cellStyle name="Normal 4 7 3 2 3" xfId="12443" xr:uid="{D15C3243-2B7F-40BD-8DF5-A1B02BF5A909}"/>
    <cellStyle name="Normal 4 7 3 2 4" xfId="20890" xr:uid="{0A03260F-999F-4330-839B-F1CF22AE7A56}"/>
    <cellStyle name="Normal 4 7 3 3" xfId="5189" xr:uid="{00000000-0005-0000-0000-0000B9160000}"/>
    <cellStyle name="Normal 4 7 3 3 2" xfId="14515" xr:uid="{130B347D-53AE-4016-9DD4-755819790A3E}"/>
    <cellStyle name="Normal 4 7 3 3 3" xfId="22962" xr:uid="{77C46805-DC81-44AE-BEFE-603118CDEDEC}"/>
    <cellStyle name="Normal 4 7 3 4" xfId="9268" xr:uid="{83DA99B2-5D77-4110-AEB9-304D3ECEF3EB}"/>
    <cellStyle name="Normal 4 7 3 5" xfId="10298" xr:uid="{1BE7FE5F-6320-45DE-88F9-33736A1EC7F5}"/>
    <cellStyle name="Normal 4 7 3 6" xfId="18745" xr:uid="{17FAAD56-E16D-4FFE-BA5E-0C0D47F93691}"/>
    <cellStyle name="Normal 4 7 4" xfId="1295" xr:uid="{00000000-0005-0000-0000-0000BA160000}"/>
    <cellStyle name="Normal 4 7 4 2" xfId="3525" xr:uid="{00000000-0005-0000-0000-0000BB160000}"/>
    <cellStyle name="Normal 4 7 4 2 2" xfId="7747" xr:uid="{00000000-0005-0000-0000-0000BC160000}"/>
    <cellStyle name="Normal 4 7 4 2 2 2" xfId="17073" xr:uid="{CB430FF3-B60D-481B-A914-0C38F752D8C3}"/>
    <cellStyle name="Normal 4 7 4 2 2 3" xfId="25520" xr:uid="{AE345519-EF7A-4005-A6AC-F189CE0FFADA}"/>
    <cellStyle name="Normal 4 7 4 2 3" xfId="12856" xr:uid="{F6FEF6A7-7F99-469C-93D5-95C224CFBB3D}"/>
    <cellStyle name="Normal 4 7 4 2 4" xfId="21303" xr:uid="{E43906AF-8F2B-4ED6-A150-B7C70884B974}"/>
    <cellStyle name="Normal 4 7 4 3" xfId="5602" xr:uid="{00000000-0005-0000-0000-0000BD160000}"/>
    <cellStyle name="Normal 4 7 4 3 2" xfId="14928" xr:uid="{7E9388EA-5E7B-4696-AE17-8E8FBCA77CED}"/>
    <cellStyle name="Normal 4 7 4 3 3" xfId="23375" xr:uid="{4FD0205A-1496-4A72-B22F-BCED14CAB919}"/>
    <cellStyle name="Normal 4 7 4 4" xfId="10711" xr:uid="{5A4840A0-2618-4AD9-A86C-CAB7909FF855}"/>
    <cellStyle name="Normal 4 7 4 5" xfId="19158" xr:uid="{BAC8FAC9-CFF7-49B8-A4AB-6B17A5A1E093}"/>
    <cellStyle name="Normal 4 7 5" xfId="1708" xr:uid="{00000000-0005-0000-0000-0000BE160000}"/>
    <cellStyle name="Normal 4 7 5 2" xfId="3938" xr:uid="{00000000-0005-0000-0000-0000BF160000}"/>
    <cellStyle name="Normal 4 7 5 2 2" xfId="8160" xr:uid="{00000000-0005-0000-0000-0000C0160000}"/>
    <cellStyle name="Normal 4 7 5 2 2 2" xfId="17486" xr:uid="{176848DB-53BF-4A71-A8ED-69A678CA68A9}"/>
    <cellStyle name="Normal 4 7 5 2 2 3" xfId="25933" xr:uid="{2DC2BA12-C5FF-44EE-88A1-EBE0C73719BA}"/>
    <cellStyle name="Normal 4 7 5 2 3" xfId="13269" xr:uid="{5415ED0C-2190-48B4-BDAA-30EFEFA3BC6C}"/>
    <cellStyle name="Normal 4 7 5 2 4" xfId="21716" xr:uid="{F7438B98-278B-412B-B20B-E6122C232743}"/>
    <cellStyle name="Normal 4 7 5 3" xfId="6015" xr:uid="{00000000-0005-0000-0000-0000C1160000}"/>
    <cellStyle name="Normal 4 7 5 3 2" xfId="15341" xr:uid="{9C27FE4E-1194-44F7-BB0E-4E6E636289F5}"/>
    <cellStyle name="Normal 4 7 5 3 3" xfId="23788" xr:uid="{4CF599FD-588D-4D4B-AF49-2C021AB4DB46}"/>
    <cellStyle name="Normal 4 7 5 4" xfId="11124" xr:uid="{E4D8B44E-BAC6-4BA1-BB79-ECAF4F1FBD14}"/>
    <cellStyle name="Normal 4 7 5 5" xfId="19571" xr:uid="{840D6321-749C-44DB-9398-0A1CA606A994}"/>
    <cellStyle name="Normal 4 7 6" xfId="2122" xr:uid="{00000000-0005-0000-0000-0000C2160000}"/>
    <cellStyle name="Normal 4 7 6 2" xfId="4351" xr:uid="{00000000-0005-0000-0000-0000C3160000}"/>
    <cellStyle name="Normal 4 7 6 2 2" xfId="8573" xr:uid="{00000000-0005-0000-0000-0000C4160000}"/>
    <cellStyle name="Normal 4 7 6 2 2 2" xfId="17899" xr:uid="{72736601-07A4-4FC3-8D8D-9CF1AE23A06F}"/>
    <cellStyle name="Normal 4 7 6 2 2 3" xfId="26346" xr:uid="{BFE7081D-27A9-43AD-955B-4CEFFD2336B0}"/>
    <cellStyle name="Normal 4 7 6 2 3" xfId="13682" xr:uid="{243BE72D-65B9-401E-8DA5-61933B81105F}"/>
    <cellStyle name="Normal 4 7 6 2 4" xfId="22129" xr:uid="{5E6C92CF-21F8-4DFE-AD8D-80D1B0BD3354}"/>
    <cellStyle name="Normal 4 7 6 3" xfId="6428" xr:uid="{00000000-0005-0000-0000-0000C5160000}"/>
    <cellStyle name="Normal 4 7 6 3 2" xfId="15754" xr:uid="{DA3B0A1F-E5D9-490E-BDBA-20589657C8CE}"/>
    <cellStyle name="Normal 4 7 6 3 3" xfId="24201" xr:uid="{9C595B79-D20E-481B-8CA2-384B77BF74EA}"/>
    <cellStyle name="Normal 4 7 6 4" xfId="11537" xr:uid="{69B231E9-B277-4148-9677-C3100674AB1E}"/>
    <cellStyle name="Normal 4 7 6 5" xfId="19984" xr:uid="{3AB1A40E-DEE4-439A-A809-0B74D874C3C0}"/>
    <cellStyle name="Normal 4 7 7" xfId="2558" xr:uid="{00000000-0005-0000-0000-0000C6160000}"/>
    <cellStyle name="Normal 4 7 7 2" xfId="6841" xr:uid="{00000000-0005-0000-0000-0000C7160000}"/>
    <cellStyle name="Normal 4 7 7 2 2" xfId="16167" xr:uid="{F6651259-6130-4D72-AEC6-EFAD791EB77F}"/>
    <cellStyle name="Normal 4 7 7 2 3" xfId="24614" xr:uid="{414E7C1B-FDCB-4AF8-BA97-D154AC966997}"/>
    <cellStyle name="Normal 4 7 7 3" xfId="11950" xr:uid="{954A2D81-975B-4405-837C-299C1DA6E66E}"/>
    <cellStyle name="Normal 4 7 7 4" xfId="20397" xr:uid="{8EE6ED24-D826-4ADC-9AF3-9A98CF2F1174}"/>
    <cellStyle name="Normal 4 7 8" xfId="4776" xr:uid="{00000000-0005-0000-0000-0000C8160000}"/>
    <cellStyle name="Normal 4 7 8 2" xfId="14102" xr:uid="{DDBBD337-E6ED-44FC-8E73-13E4F0D6B487}"/>
    <cellStyle name="Normal 4 7 8 3" xfId="22549" xr:uid="{941781DA-A072-4DF4-BB29-8E7D6E0D82DD}"/>
    <cellStyle name="Normal 4 7 9" xfId="8843" xr:uid="{092972D9-0015-4C5A-94A6-5AFD2026266B}"/>
    <cellStyle name="Normal 4 8" xfId="405" xr:uid="{00000000-0005-0000-0000-0000C9160000}"/>
    <cellStyle name="Normal 4 8 10" xfId="18334" xr:uid="{9E08AC35-9A24-485C-98C4-518ED5CC90A5}"/>
    <cellStyle name="Normal 4 8 2" xfId="879" xr:uid="{00000000-0005-0000-0000-0000CA160000}"/>
    <cellStyle name="Normal 4 8 2 2" xfId="3114" xr:uid="{00000000-0005-0000-0000-0000CB160000}"/>
    <cellStyle name="Normal 4 8 2 2 2" xfId="7336" xr:uid="{00000000-0005-0000-0000-0000CC160000}"/>
    <cellStyle name="Normal 4 8 2 2 2 2" xfId="16662" xr:uid="{B3F04ACC-8F78-473F-99B6-3D71FB3D5D0C}"/>
    <cellStyle name="Normal 4 8 2 2 2 3" xfId="25109" xr:uid="{8DA54B98-0F04-4A08-8D0E-1EC8FAC3CAE1}"/>
    <cellStyle name="Normal 4 8 2 2 3" xfId="12445" xr:uid="{93458016-1778-49B0-8487-EB22FC53033C}"/>
    <cellStyle name="Normal 4 8 2 2 4" xfId="20892" xr:uid="{54B45E09-2FFA-4664-BFA5-9A3FE132B13D}"/>
    <cellStyle name="Normal 4 8 2 3" xfId="5191" xr:uid="{00000000-0005-0000-0000-0000CD160000}"/>
    <cellStyle name="Normal 4 8 2 3 2" xfId="14517" xr:uid="{4FC113F8-9045-4316-8990-B60834EC786F}"/>
    <cellStyle name="Normal 4 8 2 3 3" xfId="22964" xr:uid="{365C0AB2-A6C4-4E85-8322-BEE16860566A}"/>
    <cellStyle name="Normal 4 8 2 4" xfId="9384" xr:uid="{6351F1DA-E485-4044-8429-C0AE76E79EEE}"/>
    <cellStyle name="Normal 4 8 2 5" xfId="10300" xr:uid="{6BDFF054-C96B-40BF-A3A8-8F82F4F37206}"/>
    <cellStyle name="Normal 4 8 2 6" xfId="18747" xr:uid="{351888EE-B9E6-4FA2-9A59-935FCE05AB5E}"/>
    <cellStyle name="Normal 4 8 3" xfId="1297" xr:uid="{00000000-0005-0000-0000-0000CE160000}"/>
    <cellStyle name="Normal 4 8 3 2" xfId="3527" xr:uid="{00000000-0005-0000-0000-0000CF160000}"/>
    <cellStyle name="Normal 4 8 3 2 2" xfId="7749" xr:uid="{00000000-0005-0000-0000-0000D0160000}"/>
    <cellStyle name="Normal 4 8 3 2 2 2" xfId="17075" xr:uid="{5ACFF0D8-C021-4D82-A026-ED1829AD3A52}"/>
    <cellStyle name="Normal 4 8 3 2 2 3" xfId="25522" xr:uid="{F39AA726-2B4A-487C-8723-C232A5DF5633}"/>
    <cellStyle name="Normal 4 8 3 2 3" xfId="12858" xr:uid="{2F11AEE1-183A-47DA-B680-8C3FA8A49FFC}"/>
    <cellStyle name="Normal 4 8 3 2 4" xfId="21305" xr:uid="{B02887C2-92C5-40AC-B47A-DCAAEAA2200A}"/>
    <cellStyle name="Normal 4 8 3 3" xfId="5604" xr:uid="{00000000-0005-0000-0000-0000D1160000}"/>
    <cellStyle name="Normal 4 8 3 3 2" xfId="14930" xr:uid="{6AE849A8-D6A5-4081-BEA8-36B474058569}"/>
    <cellStyle name="Normal 4 8 3 3 3" xfId="23377" xr:uid="{54D6585A-DE5A-4F84-84AE-82534A10EFE8}"/>
    <cellStyle name="Normal 4 8 3 4" xfId="10713" xr:uid="{EF6344E6-F63F-47B2-A312-9CD30A9A4783}"/>
    <cellStyle name="Normal 4 8 3 5" xfId="19160" xr:uid="{62582095-8DEB-4C0C-904D-5A3337BCABBD}"/>
    <cellStyle name="Normal 4 8 4" xfId="1710" xr:uid="{00000000-0005-0000-0000-0000D2160000}"/>
    <cellStyle name="Normal 4 8 4 2" xfId="3940" xr:uid="{00000000-0005-0000-0000-0000D3160000}"/>
    <cellStyle name="Normal 4 8 4 2 2" xfId="8162" xr:uid="{00000000-0005-0000-0000-0000D4160000}"/>
    <cellStyle name="Normal 4 8 4 2 2 2" xfId="17488" xr:uid="{5D8DCA28-4CF0-4A6B-8AB4-1AB5D5E54C7F}"/>
    <cellStyle name="Normal 4 8 4 2 2 3" xfId="25935" xr:uid="{9C360124-9747-42DB-AEB5-A03A6709F1CE}"/>
    <cellStyle name="Normal 4 8 4 2 3" xfId="13271" xr:uid="{19A8CA1A-BD17-4D39-9F6A-3A5186B2BB09}"/>
    <cellStyle name="Normal 4 8 4 2 4" xfId="21718" xr:uid="{7DA446D3-26D3-4DD5-A353-1BEFB84E6704}"/>
    <cellStyle name="Normal 4 8 4 3" xfId="6017" xr:uid="{00000000-0005-0000-0000-0000D5160000}"/>
    <cellStyle name="Normal 4 8 4 3 2" xfId="15343" xr:uid="{89179A31-31E1-4C16-BE67-EC1DF030EB41}"/>
    <cellStyle name="Normal 4 8 4 3 3" xfId="23790" xr:uid="{8EAB424B-CFF1-4E93-9A69-EF83145EF7A9}"/>
    <cellStyle name="Normal 4 8 4 4" xfId="11126" xr:uid="{60261B22-47F4-441A-9820-43D34D7DA480}"/>
    <cellStyle name="Normal 4 8 4 5" xfId="19573" xr:uid="{02AB6995-1E8A-4190-A4DA-EEEECE1418BD}"/>
    <cellStyle name="Normal 4 8 5" xfId="2124" xr:uid="{00000000-0005-0000-0000-0000D6160000}"/>
    <cellStyle name="Normal 4 8 5 2" xfId="4353" xr:uid="{00000000-0005-0000-0000-0000D7160000}"/>
    <cellStyle name="Normal 4 8 5 2 2" xfId="8575" xr:uid="{00000000-0005-0000-0000-0000D8160000}"/>
    <cellStyle name="Normal 4 8 5 2 2 2" xfId="17901" xr:uid="{2A17FE62-7D56-47E5-9C66-3D6A88EEF30D}"/>
    <cellStyle name="Normal 4 8 5 2 2 3" xfId="26348" xr:uid="{ED00DDE6-4F67-4D6D-AC08-BD93187ADA9D}"/>
    <cellStyle name="Normal 4 8 5 2 3" xfId="13684" xr:uid="{80AB5073-B17F-483D-8ED9-E9C4EA49F8C6}"/>
    <cellStyle name="Normal 4 8 5 2 4" xfId="22131" xr:uid="{6071537C-F915-4D48-8C37-08BE1BCDBC01}"/>
    <cellStyle name="Normal 4 8 5 3" xfId="6430" xr:uid="{00000000-0005-0000-0000-0000D9160000}"/>
    <cellStyle name="Normal 4 8 5 3 2" xfId="15756" xr:uid="{F25391CC-12AD-492E-BF18-D13F21A7D34F}"/>
    <cellStyle name="Normal 4 8 5 3 3" xfId="24203" xr:uid="{9C39876E-7F18-4620-8126-46BFCA3698E4}"/>
    <cellStyle name="Normal 4 8 5 4" xfId="11539" xr:uid="{63809035-8438-47B8-BD97-68438BF4A73B}"/>
    <cellStyle name="Normal 4 8 5 5" xfId="19986" xr:uid="{BDE1B03F-2154-4EF9-953C-930D502D7ED9}"/>
    <cellStyle name="Normal 4 8 6" xfId="2560" xr:uid="{00000000-0005-0000-0000-0000DA160000}"/>
    <cellStyle name="Normal 4 8 6 2" xfId="6843" xr:uid="{00000000-0005-0000-0000-0000DB160000}"/>
    <cellStyle name="Normal 4 8 6 2 2" xfId="16169" xr:uid="{356BB023-2D9E-40F2-A075-5E3E5933646B}"/>
    <cellStyle name="Normal 4 8 6 2 3" xfId="24616" xr:uid="{628770DE-D9F2-418F-89CE-EFD190AF0BB6}"/>
    <cellStyle name="Normal 4 8 6 3" xfId="11952" xr:uid="{AEEC3ED6-DF62-4795-BAF2-6AE22FC6269B}"/>
    <cellStyle name="Normal 4 8 6 4" xfId="20399" xr:uid="{91C2510D-2582-4584-B1F0-AF93E3D8EB10}"/>
    <cellStyle name="Normal 4 8 7" xfId="4778" xr:uid="{00000000-0005-0000-0000-0000DC160000}"/>
    <cellStyle name="Normal 4 8 7 2" xfId="14104" xr:uid="{69059502-39EE-4853-BC69-50836BCC94DE}"/>
    <cellStyle name="Normal 4 8 7 3" xfId="22551" xr:uid="{0B5DB41F-3928-4475-B4B9-FA75758FF869}"/>
    <cellStyle name="Normal 4 8 8" xfId="8959" xr:uid="{E3216EF3-66EB-48FF-967C-A258B3C3F4FF}"/>
    <cellStyle name="Normal 4 8 9" xfId="9887" xr:uid="{E53E876A-A416-4836-B141-C1C25659398C}"/>
    <cellStyle name="Normal 4 9" xfId="4715" xr:uid="{00000000-0005-0000-0000-0000DD160000}"/>
    <cellStyle name="Normal 4 9 2" xfId="9162" xr:uid="{BC355FAB-4557-4712-A03F-EB5522B29E6A}"/>
    <cellStyle name="Normal 4 9 3" xfId="14041" xr:uid="{500C9242-C4A5-4554-A3CA-4111107BE8DC}"/>
    <cellStyle name="Normal 4 9 4" xfId="22488" xr:uid="{3A5A46BA-A29E-4F4F-89CC-F78E6F248F02}"/>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F39D8B8D-DC8A-4D5A-A09D-74FF1FE03FA6}"/>
    <cellStyle name="Normal 5 10 2 2 3" xfId="25936" xr:uid="{186B0415-F95E-4AEE-88F4-A5BB04FC383B}"/>
    <cellStyle name="Normal 5 10 2 3" xfId="13272" xr:uid="{6EF7BEF5-20C3-477D-9D3B-F6EF4539294E}"/>
    <cellStyle name="Normal 5 10 2 4" xfId="21719" xr:uid="{93B5822E-67A0-45D8-97E0-E2AE164151B0}"/>
    <cellStyle name="Normal 5 10 3" xfId="6018" xr:uid="{00000000-0005-0000-0000-0000E2160000}"/>
    <cellStyle name="Normal 5 10 3 2" xfId="15344" xr:uid="{2C904467-4127-4BD5-9380-7CD88D9E54AA}"/>
    <cellStyle name="Normal 5 10 3 3" xfId="23791" xr:uid="{0CA282B3-C080-486B-AA6C-79015960175D}"/>
    <cellStyle name="Normal 5 10 4" xfId="11127" xr:uid="{6ABB7D3E-9166-4ABA-B9CD-0248C9E7AF64}"/>
    <cellStyle name="Normal 5 10 5" xfId="19574" xr:uid="{CD95250F-A306-4880-A2DD-13362C3FFAEC}"/>
    <cellStyle name="Normal 5 11" xfId="2125" xr:uid="{00000000-0005-0000-0000-0000E3160000}"/>
    <cellStyle name="Normal 5 11 2" xfId="4354" xr:uid="{00000000-0005-0000-0000-0000E4160000}"/>
    <cellStyle name="Normal 5 11 2 2" xfId="8576" xr:uid="{00000000-0005-0000-0000-0000E5160000}"/>
    <cellStyle name="Normal 5 11 2 2 2" xfId="17902" xr:uid="{CAD76B9F-7579-4F9F-B947-09D35324AA31}"/>
    <cellStyle name="Normal 5 11 2 2 3" xfId="26349" xr:uid="{704734D3-DE61-4FF1-95D2-43D48DBB92B3}"/>
    <cellStyle name="Normal 5 11 2 3" xfId="13685" xr:uid="{D12F07D6-806C-47B0-9FCA-3C0EA42934EA}"/>
    <cellStyle name="Normal 5 11 2 4" xfId="22132" xr:uid="{EC2D5F83-436C-4323-A41C-B8D3085616E0}"/>
    <cellStyle name="Normal 5 11 3" xfId="6431" xr:uid="{00000000-0005-0000-0000-0000E6160000}"/>
    <cellStyle name="Normal 5 11 3 2" xfId="15757" xr:uid="{6F0EF524-D8A1-486A-AA65-DD2FBC0B803F}"/>
    <cellStyle name="Normal 5 11 3 3" xfId="24204" xr:uid="{9CFD8F3E-482D-48EB-97C0-E34FCC410B85}"/>
    <cellStyle name="Normal 5 11 4" xfId="11540" xr:uid="{B8063BF8-C175-4EC1-8283-A6DF2A4E169E}"/>
    <cellStyle name="Normal 5 11 5" xfId="19987" xr:uid="{960EA333-FF57-49EA-8BF6-AA063C27BE22}"/>
    <cellStyle name="Normal 5 12" xfId="2561" xr:uid="{00000000-0005-0000-0000-0000E7160000}"/>
    <cellStyle name="Normal 5 12 2" xfId="6844" xr:uid="{00000000-0005-0000-0000-0000E8160000}"/>
    <cellStyle name="Normal 5 12 2 2" xfId="16170" xr:uid="{9F5E9E82-F236-45EC-A2A7-799762D82E1A}"/>
    <cellStyle name="Normal 5 12 2 3" xfId="24617" xr:uid="{8184703F-81E8-4D04-8FFB-6C2C4597AE32}"/>
    <cellStyle name="Normal 5 12 3" xfId="11953" xr:uid="{81888A8D-7F3F-45C9-A80E-F1E18A0EF2BB}"/>
    <cellStyle name="Normal 5 12 4" xfId="20400" xr:uid="{C5BB4BA4-AD54-467B-A277-EB3BD21CE1AA}"/>
    <cellStyle name="Normal 5 13" xfId="4779" xr:uid="{00000000-0005-0000-0000-0000E9160000}"/>
    <cellStyle name="Normal 5 13 2" xfId="14105" xr:uid="{C82408F4-64D3-486D-BC7A-577AAC5A9566}"/>
    <cellStyle name="Normal 5 13 3" xfId="22552" xr:uid="{5DCD84DA-CEF3-48D4-9190-4321FC67C36B}"/>
    <cellStyle name="Normal 5 14" xfId="8741" xr:uid="{6467398C-BC57-47BF-AF01-9B3356F8431F}"/>
    <cellStyle name="Normal 5 15" xfId="9888" xr:uid="{545E8C14-2A6D-4DFF-BD7C-12FC6D9DE422}"/>
    <cellStyle name="Normal 5 16" xfId="18335" xr:uid="{627F80A1-05FF-4BA7-A199-5B9EFC093C03}"/>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77A549BE-7B2F-49FC-99CC-E356948A354C}"/>
    <cellStyle name="Normal 5 2 10 2 2 3" xfId="26350" xr:uid="{548BF204-9415-4867-8795-45BC4E3D70AE}"/>
    <cellStyle name="Normal 5 2 10 2 3" xfId="13686" xr:uid="{E4B6D4E1-4B8F-477E-AC2D-3E5782DD9FA8}"/>
    <cellStyle name="Normal 5 2 10 2 4" xfId="22133" xr:uid="{4592C6E5-469E-4305-8C4C-48639E121492}"/>
    <cellStyle name="Normal 5 2 10 3" xfId="6432" xr:uid="{00000000-0005-0000-0000-0000EE160000}"/>
    <cellStyle name="Normal 5 2 10 3 2" xfId="15758" xr:uid="{0A970614-13F5-4843-B9FC-E7712FB314A2}"/>
    <cellStyle name="Normal 5 2 10 3 3" xfId="24205" xr:uid="{ED7426E7-3C5A-4471-ABA6-867A75602FD9}"/>
    <cellStyle name="Normal 5 2 10 4" xfId="11541" xr:uid="{FB7F178C-37AB-47AC-A8AD-3D337448B9FA}"/>
    <cellStyle name="Normal 5 2 10 5" xfId="19988" xr:uid="{AF7FFDC1-CE4E-4F9E-A854-5ED57447221E}"/>
    <cellStyle name="Normal 5 2 11" xfId="2562" xr:uid="{00000000-0005-0000-0000-0000EF160000}"/>
    <cellStyle name="Normal 5 2 11 2" xfId="6845" xr:uid="{00000000-0005-0000-0000-0000F0160000}"/>
    <cellStyle name="Normal 5 2 11 2 2" xfId="16171" xr:uid="{35B33412-958C-4E5A-8C4E-704246A0FC6A}"/>
    <cellStyle name="Normal 5 2 11 2 3" xfId="24618" xr:uid="{6982FC85-E4D8-4EC6-9F49-1A340767929C}"/>
    <cellStyle name="Normal 5 2 11 3" xfId="11954" xr:uid="{F46F4701-CDFB-4AD9-B04A-2CDDD07C378E}"/>
    <cellStyle name="Normal 5 2 11 4" xfId="20401" xr:uid="{98DF1DFC-AC40-4044-8A39-56B21269FFF7}"/>
    <cellStyle name="Normal 5 2 12" xfId="4780" xr:uid="{00000000-0005-0000-0000-0000F1160000}"/>
    <cellStyle name="Normal 5 2 12 2" xfId="14106" xr:uid="{0EE69A3F-9479-41B4-83F5-6FD0ABD31374}"/>
    <cellStyle name="Normal 5 2 12 3" xfId="22553" xr:uid="{2753CBA0-EF23-4276-91BE-FA66483B4A44}"/>
    <cellStyle name="Normal 5 2 13" xfId="8744" xr:uid="{40D5DF2B-E9DF-4D52-AAE0-3E5A94050B59}"/>
    <cellStyle name="Normal 5 2 14" xfId="9889" xr:uid="{3255CEB0-C775-4387-8C92-B66825AE72FD}"/>
    <cellStyle name="Normal 5 2 15" xfId="18336" xr:uid="{09B4AB27-3E75-4AD4-B42C-7FB1D4E42E96}"/>
    <cellStyle name="Normal 5 2 2" xfId="408" xr:uid="{00000000-0005-0000-0000-0000F2160000}"/>
    <cellStyle name="Normal 5 2 2 10" xfId="2563" xr:uid="{00000000-0005-0000-0000-0000F3160000}"/>
    <cellStyle name="Normal 5 2 2 10 2" xfId="6846" xr:uid="{00000000-0005-0000-0000-0000F4160000}"/>
    <cellStyle name="Normal 5 2 2 10 2 2" xfId="16172" xr:uid="{ECD0E2E2-8D75-4EF2-842E-0A113396A06E}"/>
    <cellStyle name="Normal 5 2 2 10 2 3" xfId="24619" xr:uid="{9EF4D592-800F-4D85-B1B5-D82E9C2A17DC}"/>
    <cellStyle name="Normal 5 2 2 10 3" xfId="11955" xr:uid="{68E4F2A3-A855-4919-9220-00F988957780}"/>
    <cellStyle name="Normal 5 2 2 10 4" xfId="20402" xr:uid="{223C8A25-7266-4EE5-A2F7-8AE1084172F5}"/>
    <cellStyle name="Normal 5 2 2 11" xfId="4781" xr:uid="{00000000-0005-0000-0000-0000F5160000}"/>
    <cellStyle name="Normal 5 2 2 11 2" xfId="14107" xr:uid="{0FF66A05-C4DB-4738-92A9-9E8F5992B6E6}"/>
    <cellStyle name="Normal 5 2 2 11 3" xfId="22554" xr:uid="{744075EF-3A99-4B5E-A92C-9A727E112DCF}"/>
    <cellStyle name="Normal 5 2 2 12" xfId="8753" xr:uid="{96D04E2F-D92F-448D-9FDA-8261D8BEE094}"/>
    <cellStyle name="Normal 5 2 2 13" xfId="9890" xr:uid="{65CFD2DF-B67B-4190-87E9-75AE014CC0C1}"/>
    <cellStyle name="Normal 5 2 2 14" xfId="18337" xr:uid="{B974AF30-0232-469E-9BC2-0AE5FE8F6212}"/>
    <cellStyle name="Normal 5 2 2 2" xfId="409" xr:uid="{00000000-0005-0000-0000-0000F6160000}"/>
    <cellStyle name="Normal 5 2 2 2 10" xfId="4782" xr:uid="{00000000-0005-0000-0000-0000F7160000}"/>
    <cellStyle name="Normal 5 2 2 2 10 2" xfId="14108" xr:uid="{3465A052-AB0B-4B64-8CE5-9B40EF31880F}"/>
    <cellStyle name="Normal 5 2 2 2 10 3" xfId="22555" xr:uid="{2914DB50-BEC8-4D31-8DB7-0C304ABE4374}"/>
    <cellStyle name="Normal 5 2 2 2 11" xfId="8771" xr:uid="{0E58ED1C-12F1-4692-801F-170CA6F7CBDB}"/>
    <cellStyle name="Normal 5 2 2 2 12" xfId="9891" xr:uid="{30725A58-1228-44C8-AF33-130328CB9325}"/>
    <cellStyle name="Normal 5 2 2 2 13" xfId="18338" xr:uid="{6C414936-DD2A-4D4E-911F-62C36E1E1E0D}"/>
    <cellStyle name="Normal 5 2 2 2 2" xfId="410" xr:uid="{00000000-0005-0000-0000-0000F8160000}"/>
    <cellStyle name="Normal 5 2 2 2 2 10" xfId="8829" xr:uid="{AC161972-21E9-4E03-8D2E-9F95632CB08D}"/>
    <cellStyle name="Normal 5 2 2 2 2 11" xfId="9892" xr:uid="{BD64B627-019B-4A01-8084-3343418A3B94}"/>
    <cellStyle name="Normal 5 2 2 2 2 12" xfId="18339" xr:uid="{B54F156B-92CD-49C9-8BE4-DDEA3142B7ED}"/>
    <cellStyle name="Normal 5 2 2 2 2 2" xfId="411" xr:uid="{00000000-0005-0000-0000-0000F9160000}"/>
    <cellStyle name="Normal 5 2 2 2 2 2 10" xfId="9893" xr:uid="{185DB346-C99C-44B0-AA86-7004C7EDA2BD}"/>
    <cellStyle name="Normal 5 2 2 2 2 2 11" xfId="18340" xr:uid="{A898187A-8554-4F9A-8ED4-87628BE1EDA2}"/>
    <cellStyle name="Normal 5 2 2 2 2 2 2" xfId="412" xr:uid="{00000000-0005-0000-0000-0000FA160000}"/>
    <cellStyle name="Normal 5 2 2 2 2 2 2 10" xfId="18341" xr:uid="{02750E91-4D70-4A21-95AB-BA68725CD0E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FFC9DA11-B26D-4A90-B0D0-6F22682BDC34}"/>
    <cellStyle name="Normal 5 2 2 2 2 2 2 2 2 2 3" xfId="25116" xr:uid="{8A0BA3D6-441F-44A1-9A50-81A83314F6F4}"/>
    <cellStyle name="Normal 5 2 2 2 2 2 2 2 2 3" xfId="12452" xr:uid="{462BD064-E7B3-4D03-B179-01E23FA98E54}"/>
    <cellStyle name="Normal 5 2 2 2 2 2 2 2 2 4" xfId="20899" xr:uid="{572FF4F3-9AA2-41A0-89D6-872D6CD3A90B}"/>
    <cellStyle name="Normal 5 2 2 2 2 2 2 2 3" xfId="5198" xr:uid="{00000000-0005-0000-0000-0000FE160000}"/>
    <cellStyle name="Normal 5 2 2 2 2 2 2 2 3 2" xfId="14524" xr:uid="{8E15A76B-3314-4835-8AA8-863F3EF4E33A}"/>
    <cellStyle name="Normal 5 2 2 2 2 2 2 2 3 3" xfId="22971" xr:uid="{D136F51B-0C13-4523-86F8-653D37525848}"/>
    <cellStyle name="Normal 5 2 2 2 2 2 2 2 4" xfId="9564" xr:uid="{15884BE4-44C0-46E7-A184-FC102AAADEB4}"/>
    <cellStyle name="Normal 5 2 2 2 2 2 2 2 5" xfId="10307" xr:uid="{EB10B3D4-4C84-424B-ACF0-71E9F8DD8F29}"/>
    <cellStyle name="Normal 5 2 2 2 2 2 2 2 6" xfId="18754" xr:uid="{CC979D64-D0A3-4DAE-8913-FB18343E3558}"/>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55E98925-C095-447B-973A-941DFA7E93FE}"/>
    <cellStyle name="Normal 5 2 2 2 2 2 2 3 2 2 3" xfId="25529" xr:uid="{4B95C2AD-5001-47ED-97AE-5040D1A34DE6}"/>
    <cellStyle name="Normal 5 2 2 2 2 2 2 3 2 3" xfId="12865" xr:uid="{967CFACA-312A-49A0-94FD-D32F6084B9B3}"/>
    <cellStyle name="Normal 5 2 2 2 2 2 2 3 2 4" xfId="21312" xr:uid="{A4D49807-4104-48CB-865E-13367EA5A714}"/>
    <cellStyle name="Normal 5 2 2 2 2 2 2 3 3" xfId="5611" xr:uid="{00000000-0005-0000-0000-000002170000}"/>
    <cellStyle name="Normal 5 2 2 2 2 2 2 3 3 2" xfId="14937" xr:uid="{709BB504-FA7F-401B-8140-60A349E0005B}"/>
    <cellStyle name="Normal 5 2 2 2 2 2 2 3 3 3" xfId="23384" xr:uid="{A20A5ED7-D3E1-4B4D-8B91-4E05BC0DEED3}"/>
    <cellStyle name="Normal 5 2 2 2 2 2 2 3 4" xfId="10720" xr:uid="{5B597E1A-28C5-42AA-B3FA-3A8839B8ED73}"/>
    <cellStyle name="Normal 5 2 2 2 2 2 2 3 5" xfId="19167" xr:uid="{1BE625C5-678B-49B8-9A7E-135BE945D87E}"/>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7D352ED8-96DB-4B83-8F71-12B3E2D6D5F2}"/>
    <cellStyle name="Normal 5 2 2 2 2 2 2 4 2 2 3" xfId="25942" xr:uid="{193CA02A-1092-45DF-9D9D-AFEB4BCF9B85}"/>
    <cellStyle name="Normal 5 2 2 2 2 2 2 4 2 3" xfId="13278" xr:uid="{EB49E8F9-C5CC-4806-8186-A86A1C314F06}"/>
    <cellStyle name="Normal 5 2 2 2 2 2 2 4 2 4" xfId="21725" xr:uid="{DDC1F256-051C-4325-896F-A99077FFC496}"/>
    <cellStyle name="Normal 5 2 2 2 2 2 2 4 3" xfId="6024" xr:uid="{00000000-0005-0000-0000-000006170000}"/>
    <cellStyle name="Normal 5 2 2 2 2 2 2 4 3 2" xfId="15350" xr:uid="{9FFE9CC7-8A8D-4C93-AFF5-DEA973F5E8DB}"/>
    <cellStyle name="Normal 5 2 2 2 2 2 2 4 3 3" xfId="23797" xr:uid="{FC918B29-1068-4223-872F-4194AFDF9FCE}"/>
    <cellStyle name="Normal 5 2 2 2 2 2 2 4 4" xfId="11133" xr:uid="{B4AA35A8-8475-4C03-B5D3-13262F732F58}"/>
    <cellStyle name="Normal 5 2 2 2 2 2 2 4 5" xfId="19580" xr:uid="{27FBCA5D-67E5-4D53-8278-D263685358F9}"/>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31900EEC-ECAF-43BE-9931-9AFDC2D89D19}"/>
    <cellStyle name="Normal 5 2 2 2 2 2 2 5 2 2 3" xfId="26355" xr:uid="{876BECF1-9BCD-400F-B6E9-E86D107EBA21}"/>
    <cellStyle name="Normal 5 2 2 2 2 2 2 5 2 3" xfId="13691" xr:uid="{0400A927-48E0-424A-85F7-C7453D0469F2}"/>
    <cellStyle name="Normal 5 2 2 2 2 2 2 5 2 4" xfId="22138" xr:uid="{01761FBB-CC53-441E-AA19-D4420382B3DE}"/>
    <cellStyle name="Normal 5 2 2 2 2 2 2 5 3" xfId="6437" xr:uid="{00000000-0005-0000-0000-00000A170000}"/>
    <cellStyle name="Normal 5 2 2 2 2 2 2 5 3 2" xfId="15763" xr:uid="{E5BD8A4A-F629-45F8-8547-F1029B421CF7}"/>
    <cellStyle name="Normal 5 2 2 2 2 2 2 5 3 3" xfId="24210" xr:uid="{A3354CDD-62B7-4D7B-A057-3C4F1124768F}"/>
    <cellStyle name="Normal 5 2 2 2 2 2 2 5 4" xfId="11546" xr:uid="{30AE7E7C-A608-448F-B69B-939346804C5E}"/>
    <cellStyle name="Normal 5 2 2 2 2 2 2 5 5" xfId="19993" xr:uid="{92BB7261-4012-4B34-BD17-C3DB74C7614C}"/>
    <cellStyle name="Normal 5 2 2 2 2 2 2 6" xfId="2567" xr:uid="{00000000-0005-0000-0000-00000B170000}"/>
    <cellStyle name="Normal 5 2 2 2 2 2 2 6 2" xfId="6850" xr:uid="{00000000-0005-0000-0000-00000C170000}"/>
    <cellStyle name="Normal 5 2 2 2 2 2 2 6 2 2" xfId="16176" xr:uid="{31BF8CBD-15C8-4FE1-9C95-14C2E085EFE2}"/>
    <cellStyle name="Normal 5 2 2 2 2 2 2 6 2 3" xfId="24623" xr:uid="{8E7EB8C2-0BCD-4992-8DD5-7C312934BEF2}"/>
    <cellStyle name="Normal 5 2 2 2 2 2 2 6 3" xfId="11959" xr:uid="{E0694AEF-0A7F-47DE-A658-0763710E5177}"/>
    <cellStyle name="Normal 5 2 2 2 2 2 2 6 4" xfId="20406" xr:uid="{06CBD9B5-3A44-4918-B8BD-80027B04D98B}"/>
    <cellStyle name="Normal 5 2 2 2 2 2 2 7" xfId="4785" xr:uid="{00000000-0005-0000-0000-00000D170000}"/>
    <cellStyle name="Normal 5 2 2 2 2 2 2 7 2" xfId="14111" xr:uid="{A4EC2E45-5130-4A8F-8990-6B3CBCB78EF8}"/>
    <cellStyle name="Normal 5 2 2 2 2 2 2 7 3" xfId="22558" xr:uid="{F2C5D8FD-36A6-4FD2-8F69-5CAF3098D7D9}"/>
    <cellStyle name="Normal 5 2 2 2 2 2 2 8" xfId="9139" xr:uid="{CFCC7179-F81D-4929-81F2-C6E64655A093}"/>
    <cellStyle name="Normal 5 2 2 2 2 2 2 9" xfId="9894" xr:uid="{E2DD2952-FAE2-4016-9478-20DF9AC48DF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96710357-CB3A-43CF-88FB-FC233EDC5494}"/>
    <cellStyle name="Normal 5 2 2 2 2 2 3 2 2 3" xfId="25115" xr:uid="{0F478720-B9D3-4A6C-97B5-99B7A79697A5}"/>
    <cellStyle name="Normal 5 2 2 2 2 2 3 2 3" xfId="12451" xr:uid="{B4A6F619-44D7-4CF2-9F05-972A8520EDDD}"/>
    <cellStyle name="Normal 5 2 2 2 2 2 3 2 4" xfId="20898" xr:uid="{6CB7B49B-3908-4810-84B2-8E6D491BD2B5}"/>
    <cellStyle name="Normal 5 2 2 2 2 2 3 3" xfId="5197" xr:uid="{00000000-0005-0000-0000-000011170000}"/>
    <cellStyle name="Normal 5 2 2 2 2 2 3 3 2" xfId="14523" xr:uid="{6F28D3AD-F1FC-4AC1-880D-DC671D95FB0C}"/>
    <cellStyle name="Normal 5 2 2 2 2 2 3 3 3" xfId="22970" xr:uid="{03A09EBB-BCD0-460D-852E-F81B8F8D3C7F}"/>
    <cellStyle name="Normal 5 2 2 2 2 2 3 4" xfId="9357" xr:uid="{1809EB60-9E69-4954-99A5-643CD830C5FB}"/>
    <cellStyle name="Normal 5 2 2 2 2 2 3 5" xfId="10306" xr:uid="{E2C399E2-C495-4B60-A823-D69380F0C685}"/>
    <cellStyle name="Normal 5 2 2 2 2 2 3 6" xfId="18753" xr:uid="{370C0E2E-38C1-4F31-9224-D97318819FC7}"/>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6DD976D3-AE10-427E-8CB0-0CE96922C14B}"/>
    <cellStyle name="Normal 5 2 2 2 2 2 4 2 2 3" xfId="25528" xr:uid="{EBE58FEC-1F2F-4A0C-965C-E61DE80225B8}"/>
    <cellStyle name="Normal 5 2 2 2 2 2 4 2 3" xfId="12864" xr:uid="{EBD1BB00-684A-4ADB-A0FE-F39B17981160}"/>
    <cellStyle name="Normal 5 2 2 2 2 2 4 2 4" xfId="21311" xr:uid="{BD61A52A-2C44-41C0-B95F-A7AC07560020}"/>
    <cellStyle name="Normal 5 2 2 2 2 2 4 3" xfId="5610" xr:uid="{00000000-0005-0000-0000-000015170000}"/>
    <cellStyle name="Normal 5 2 2 2 2 2 4 3 2" xfId="14936" xr:uid="{99971B6F-BFC2-43C3-8DBD-8B6669403E14}"/>
    <cellStyle name="Normal 5 2 2 2 2 2 4 3 3" xfId="23383" xr:uid="{DF5A9CD7-C76A-47C2-BFC8-7B72C2283842}"/>
    <cellStyle name="Normal 5 2 2 2 2 2 4 4" xfId="10719" xr:uid="{81DC5B6C-F4AD-485C-8192-87A84B37CAA6}"/>
    <cellStyle name="Normal 5 2 2 2 2 2 4 5" xfId="19166" xr:uid="{A4997060-2AE6-40C2-A2B8-BFA112B45A71}"/>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EF89B7E8-3545-4EA8-8A57-E4326D4FB792}"/>
    <cellStyle name="Normal 5 2 2 2 2 2 5 2 2 3" xfId="25941" xr:uid="{1253F51D-61B3-4AD1-9965-C24630D2FE0F}"/>
    <cellStyle name="Normal 5 2 2 2 2 2 5 2 3" xfId="13277" xr:uid="{70E9906D-8CA1-40E4-9B89-87266A7B320D}"/>
    <cellStyle name="Normal 5 2 2 2 2 2 5 2 4" xfId="21724" xr:uid="{1A74F93D-3876-4CDA-848E-1EB9F3E5F183}"/>
    <cellStyle name="Normal 5 2 2 2 2 2 5 3" xfId="6023" xr:uid="{00000000-0005-0000-0000-000019170000}"/>
    <cellStyle name="Normal 5 2 2 2 2 2 5 3 2" xfId="15349" xr:uid="{B43ADAB0-1DCE-447C-8054-38333B6FF56B}"/>
    <cellStyle name="Normal 5 2 2 2 2 2 5 3 3" xfId="23796" xr:uid="{E80C7D79-0F61-437B-8F7F-3CA179C04F53}"/>
    <cellStyle name="Normal 5 2 2 2 2 2 5 4" xfId="11132" xr:uid="{0C18154C-EB9F-4311-A29C-5480CB20A2BD}"/>
    <cellStyle name="Normal 5 2 2 2 2 2 5 5" xfId="19579" xr:uid="{5317F729-55E1-4D1E-BC36-0E864B9904FE}"/>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E0543901-622B-4B55-86C6-225299718E0B}"/>
    <cellStyle name="Normal 5 2 2 2 2 2 6 2 2 3" xfId="26354" xr:uid="{B77DEF87-B6BF-4570-8F2E-378B1DB747E8}"/>
    <cellStyle name="Normal 5 2 2 2 2 2 6 2 3" xfId="13690" xr:uid="{81BD05E9-F691-4C91-8B2C-DE68651094C5}"/>
    <cellStyle name="Normal 5 2 2 2 2 2 6 2 4" xfId="22137" xr:uid="{B73B3E9A-6A39-41A3-840A-144766F64E6E}"/>
    <cellStyle name="Normal 5 2 2 2 2 2 6 3" xfId="6436" xr:uid="{00000000-0005-0000-0000-00001D170000}"/>
    <cellStyle name="Normal 5 2 2 2 2 2 6 3 2" xfId="15762" xr:uid="{70670087-2AEA-4EB0-90A1-5F6BFEFB37A0}"/>
    <cellStyle name="Normal 5 2 2 2 2 2 6 3 3" xfId="24209" xr:uid="{4C040BC3-BD1C-4EF7-B89C-5020ACF807CC}"/>
    <cellStyle name="Normal 5 2 2 2 2 2 6 4" xfId="11545" xr:uid="{107C0320-97B1-4163-8317-09F89A280A05}"/>
    <cellStyle name="Normal 5 2 2 2 2 2 6 5" xfId="19992" xr:uid="{955DE2FE-EA5E-449E-8CD2-C9755E5BA3E9}"/>
    <cellStyle name="Normal 5 2 2 2 2 2 7" xfId="2566" xr:uid="{00000000-0005-0000-0000-00001E170000}"/>
    <cellStyle name="Normal 5 2 2 2 2 2 7 2" xfId="6849" xr:uid="{00000000-0005-0000-0000-00001F170000}"/>
    <cellStyle name="Normal 5 2 2 2 2 2 7 2 2" xfId="16175" xr:uid="{6A0823EF-50DA-4228-8173-FE68FF231E59}"/>
    <cellStyle name="Normal 5 2 2 2 2 2 7 2 3" xfId="24622" xr:uid="{9611A8EF-1632-409C-9631-09B470691764}"/>
    <cellStyle name="Normal 5 2 2 2 2 2 7 3" xfId="11958" xr:uid="{4AC25FAB-9541-4360-A3B4-0C10D94BA83A}"/>
    <cellStyle name="Normal 5 2 2 2 2 2 7 4" xfId="20405" xr:uid="{BE95948A-F2EF-4514-967C-ACCB1CB77AFA}"/>
    <cellStyle name="Normal 5 2 2 2 2 2 8" xfId="4784" xr:uid="{00000000-0005-0000-0000-000020170000}"/>
    <cellStyle name="Normal 5 2 2 2 2 2 8 2" xfId="14110" xr:uid="{B9636574-CBA1-432D-9318-629BF5F57BE1}"/>
    <cellStyle name="Normal 5 2 2 2 2 2 8 3" xfId="22557" xr:uid="{53ED3F74-A57B-49EB-BB26-15783816CCEB}"/>
    <cellStyle name="Normal 5 2 2 2 2 2 9" xfId="8932" xr:uid="{8A89D9DD-5FCE-4028-8D52-F4758EFA866E}"/>
    <cellStyle name="Normal 5 2 2 2 2 3" xfId="413" xr:uid="{00000000-0005-0000-0000-000021170000}"/>
    <cellStyle name="Normal 5 2 2 2 2 3 10" xfId="18342" xr:uid="{5CFD5AC2-8956-42F1-B24E-F8732C4D2F77}"/>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B8B5BFA4-CCD2-4F52-B789-36DE89B010D4}"/>
    <cellStyle name="Normal 5 2 2 2 2 3 2 2 2 3" xfId="25117" xr:uid="{AA7E6FBA-2017-40E5-A630-C0C8A2F42704}"/>
    <cellStyle name="Normal 5 2 2 2 2 3 2 2 3" xfId="12453" xr:uid="{379C5857-5111-425A-AE16-262307360BA7}"/>
    <cellStyle name="Normal 5 2 2 2 2 3 2 2 4" xfId="20900" xr:uid="{1693AB87-5780-4135-AE3A-7941890036F6}"/>
    <cellStyle name="Normal 5 2 2 2 2 3 2 3" xfId="5199" xr:uid="{00000000-0005-0000-0000-000025170000}"/>
    <cellStyle name="Normal 5 2 2 2 2 3 2 3 2" xfId="14525" xr:uid="{0F3DC924-7926-4D0A-B897-1BF2EF459412}"/>
    <cellStyle name="Normal 5 2 2 2 2 3 2 3 3" xfId="22972" xr:uid="{292532B5-A860-4975-A14A-F52EDDA0D7D7}"/>
    <cellStyle name="Normal 5 2 2 2 2 3 2 4" xfId="9461" xr:uid="{815E4D9A-ED64-4B6C-A17A-F6D83CC40A47}"/>
    <cellStyle name="Normal 5 2 2 2 2 3 2 5" xfId="10308" xr:uid="{0165457E-7B37-4770-A99C-C0C0346B6A7A}"/>
    <cellStyle name="Normal 5 2 2 2 2 3 2 6" xfId="18755" xr:uid="{069FBED5-E13B-446C-B1A9-925C286226EC}"/>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44F6CFF2-85D9-4C62-88F1-C2025F099858}"/>
    <cellStyle name="Normal 5 2 2 2 2 3 3 2 2 3" xfId="25530" xr:uid="{0EEE5277-9639-43BE-B4B0-3A7230467A6B}"/>
    <cellStyle name="Normal 5 2 2 2 2 3 3 2 3" xfId="12866" xr:uid="{0299CEE4-5988-47D2-83C9-01D3CB4660CF}"/>
    <cellStyle name="Normal 5 2 2 2 2 3 3 2 4" xfId="21313" xr:uid="{1E997984-CCAB-4329-B228-9D755577D490}"/>
    <cellStyle name="Normal 5 2 2 2 2 3 3 3" xfId="5612" xr:uid="{00000000-0005-0000-0000-000029170000}"/>
    <cellStyle name="Normal 5 2 2 2 2 3 3 3 2" xfId="14938" xr:uid="{839FAA65-83BF-41B9-BDF3-0581CF12ECCA}"/>
    <cellStyle name="Normal 5 2 2 2 2 3 3 3 3" xfId="23385" xr:uid="{60A5CC57-BBF0-4C06-BCF6-956E20405991}"/>
    <cellStyle name="Normal 5 2 2 2 2 3 3 4" xfId="10721" xr:uid="{DDE26382-315D-46A0-B40E-613424EFF01B}"/>
    <cellStyle name="Normal 5 2 2 2 2 3 3 5" xfId="19168" xr:uid="{C148D9FC-B853-423D-A2B2-F92D892D61D1}"/>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5F574EB6-8C3D-4E9D-8B35-F25371F478FE}"/>
    <cellStyle name="Normal 5 2 2 2 2 3 4 2 2 3" xfId="25943" xr:uid="{F8782B89-1F2A-40AF-81F7-5BAC6F531CDF}"/>
    <cellStyle name="Normal 5 2 2 2 2 3 4 2 3" xfId="13279" xr:uid="{11E5C9F1-9327-49D0-BF3E-EB1F463F6D7C}"/>
    <cellStyle name="Normal 5 2 2 2 2 3 4 2 4" xfId="21726" xr:uid="{E8840F08-2229-4AF4-A8A8-7650F4302EF2}"/>
    <cellStyle name="Normal 5 2 2 2 2 3 4 3" xfId="6025" xr:uid="{00000000-0005-0000-0000-00002D170000}"/>
    <cellStyle name="Normal 5 2 2 2 2 3 4 3 2" xfId="15351" xr:uid="{DA63D031-B0C5-4EF1-8E52-532FEDD8CF20}"/>
    <cellStyle name="Normal 5 2 2 2 2 3 4 3 3" xfId="23798" xr:uid="{96A938F4-D36E-4780-88CF-878019568C28}"/>
    <cellStyle name="Normal 5 2 2 2 2 3 4 4" xfId="11134" xr:uid="{A2413D71-65A9-4E05-B596-044715A26265}"/>
    <cellStyle name="Normal 5 2 2 2 2 3 4 5" xfId="19581" xr:uid="{D409F5D7-8128-47EA-93F0-015CA76E3079}"/>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A8227469-8996-4337-9B99-AAE6378D86EB}"/>
    <cellStyle name="Normal 5 2 2 2 2 3 5 2 2 3" xfId="26356" xr:uid="{AC3E2522-B150-47B4-A4C1-C1D7E7D4CBF8}"/>
    <cellStyle name="Normal 5 2 2 2 2 3 5 2 3" xfId="13692" xr:uid="{3BDE0855-922A-49EC-9141-AF455B0F8E8D}"/>
    <cellStyle name="Normal 5 2 2 2 2 3 5 2 4" xfId="22139" xr:uid="{DB6D5049-70CC-4ACF-A38C-2C540F29C2DA}"/>
    <cellStyle name="Normal 5 2 2 2 2 3 5 3" xfId="6438" xr:uid="{00000000-0005-0000-0000-000031170000}"/>
    <cellStyle name="Normal 5 2 2 2 2 3 5 3 2" xfId="15764" xr:uid="{C7AC72E2-E6E6-4FC3-ACD0-977A10B6AEA3}"/>
    <cellStyle name="Normal 5 2 2 2 2 3 5 3 3" xfId="24211" xr:uid="{D19B32C9-33DC-43F6-BCC5-A61FC1BE6C09}"/>
    <cellStyle name="Normal 5 2 2 2 2 3 5 4" xfId="11547" xr:uid="{987AB2FA-E160-4E35-A76F-6D0D8A7CBDD1}"/>
    <cellStyle name="Normal 5 2 2 2 2 3 5 5" xfId="19994" xr:uid="{70F64B5F-2DAD-4786-8DE1-5274A097758F}"/>
    <cellStyle name="Normal 5 2 2 2 2 3 6" xfId="2568" xr:uid="{00000000-0005-0000-0000-000032170000}"/>
    <cellStyle name="Normal 5 2 2 2 2 3 6 2" xfId="6851" xr:uid="{00000000-0005-0000-0000-000033170000}"/>
    <cellStyle name="Normal 5 2 2 2 2 3 6 2 2" xfId="16177" xr:uid="{7A86778F-A06D-4A3E-9AC6-60BB715D10BA}"/>
    <cellStyle name="Normal 5 2 2 2 2 3 6 2 3" xfId="24624" xr:uid="{29FF1694-12E5-4919-86A9-34D1EB7B3FC3}"/>
    <cellStyle name="Normal 5 2 2 2 2 3 6 3" xfId="11960" xr:uid="{B314E676-A83B-4F08-8698-8DEA32AB6D94}"/>
    <cellStyle name="Normal 5 2 2 2 2 3 6 4" xfId="20407" xr:uid="{93F44A65-EB96-4791-917A-8FD75A352365}"/>
    <cellStyle name="Normal 5 2 2 2 2 3 7" xfId="4786" xr:uid="{00000000-0005-0000-0000-000034170000}"/>
    <cellStyle name="Normal 5 2 2 2 2 3 7 2" xfId="14112" xr:uid="{25213625-7546-43FB-A3AA-23DE68050E95}"/>
    <cellStyle name="Normal 5 2 2 2 2 3 7 3" xfId="22559" xr:uid="{E2A8F10F-A502-49F2-AC60-C5B1627762E6}"/>
    <cellStyle name="Normal 5 2 2 2 2 3 8" xfId="9036" xr:uid="{2B9BC3AC-900A-42EE-A23F-E5574B6E75BC}"/>
    <cellStyle name="Normal 5 2 2 2 2 3 9" xfId="9895" xr:uid="{31B1F63D-24D8-4DFD-ABF3-421B676E1F63}"/>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F3AE1C68-79AE-4E5B-8EA4-30E3E465880A}"/>
    <cellStyle name="Normal 5 2 2 2 2 4 2 2 3" xfId="25114" xr:uid="{4A5A8045-1310-470F-8CBB-35976DC7E550}"/>
    <cellStyle name="Normal 5 2 2 2 2 4 2 3" xfId="12450" xr:uid="{804FD31A-025B-439F-BB92-A07C4485F592}"/>
    <cellStyle name="Normal 5 2 2 2 2 4 2 4" xfId="20897" xr:uid="{011FDF1D-BCAE-4BE7-B155-6C0D8861EC2E}"/>
    <cellStyle name="Normal 5 2 2 2 2 4 3" xfId="5196" xr:uid="{00000000-0005-0000-0000-000038170000}"/>
    <cellStyle name="Normal 5 2 2 2 2 4 3 2" xfId="14522" xr:uid="{2D132AE2-C3DE-400F-AF8B-640994F75706}"/>
    <cellStyle name="Normal 5 2 2 2 2 4 3 3" xfId="22969" xr:uid="{50430DBB-DBA6-45D5-A2A3-DB3B86C7CAAC}"/>
    <cellStyle name="Normal 5 2 2 2 2 4 4" xfId="9254" xr:uid="{B0B4DA0D-4C0F-4712-8BF0-280C2A85D575}"/>
    <cellStyle name="Normal 5 2 2 2 2 4 5" xfId="10305" xr:uid="{B88BB913-07D1-4A10-8968-AD4548AAA148}"/>
    <cellStyle name="Normal 5 2 2 2 2 4 6" xfId="18752" xr:uid="{6478FDFF-9EC3-40D9-87EE-6E4BF2872A41}"/>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B823ECDB-8059-4B64-A46C-EFBD51D078EB}"/>
    <cellStyle name="Normal 5 2 2 2 2 5 2 2 3" xfId="25527" xr:uid="{8C4C7069-FE92-4CD6-A6F9-BE5B5A7C9508}"/>
    <cellStyle name="Normal 5 2 2 2 2 5 2 3" xfId="12863" xr:uid="{8F9032E4-C96C-46A0-BBE3-84126481BD76}"/>
    <cellStyle name="Normal 5 2 2 2 2 5 2 4" xfId="21310" xr:uid="{752E4479-8895-437E-A89C-2636FA124E80}"/>
    <cellStyle name="Normal 5 2 2 2 2 5 3" xfId="5609" xr:uid="{00000000-0005-0000-0000-00003C170000}"/>
    <cellStyle name="Normal 5 2 2 2 2 5 3 2" xfId="14935" xr:uid="{2A78D6EF-F8C6-4CFA-BE8D-E393CF911747}"/>
    <cellStyle name="Normal 5 2 2 2 2 5 3 3" xfId="23382" xr:uid="{56AAE023-BA39-4F86-B916-324642F2FAB1}"/>
    <cellStyle name="Normal 5 2 2 2 2 5 4" xfId="10718" xr:uid="{4817A9E2-8AEF-421A-BADF-7B9EB97B9B42}"/>
    <cellStyle name="Normal 5 2 2 2 2 5 5" xfId="19165" xr:uid="{B1702293-ED94-4114-96FD-30581FA76B3E}"/>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CBDAEE1C-867D-4D39-9866-C7262F3C885D}"/>
    <cellStyle name="Normal 5 2 2 2 2 6 2 2 3" xfId="25940" xr:uid="{FE997550-BDD8-4F1F-AAF9-09533A731FAC}"/>
    <cellStyle name="Normal 5 2 2 2 2 6 2 3" xfId="13276" xr:uid="{B01E571A-338B-45A7-9BBE-15AB38F30D89}"/>
    <cellStyle name="Normal 5 2 2 2 2 6 2 4" xfId="21723" xr:uid="{C1E7D346-EA35-40C7-B3A2-2EF281960239}"/>
    <cellStyle name="Normal 5 2 2 2 2 6 3" xfId="6022" xr:uid="{00000000-0005-0000-0000-000040170000}"/>
    <cellStyle name="Normal 5 2 2 2 2 6 3 2" xfId="15348" xr:uid="{E56B68EF-0A8E-400B-8D5C-66A65FF32942}"/>
    <cellStyle name="Normal 5 2 2 2 2 6 3 3" xfId="23795" xr:uid="{ACEAC2ED-F635-4BD0-9224-11310F58C391}"/>
    <cellStyle name="Normal 5 2 2 2 2 6 4" xfId="11131" xr:uid="{36E3D556-AEEB-49D3-9F9A-77447757AE9A}"/>
    <cellStyle name="Normal 5 2 2 2 2 6 5" xfId="19578" xr:uid="{348BDAC4-9C52-47B8-B7D9-E79C567301D7}"/>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24675532-5AA3-40E2-9BAC-867733A6AC1C}"/>
    <cellStyle name="Normal 5 2 2 2 2 7 2 2 3" xfId="26353" xr:uid="{07A630B0-1951-4C8F-9897-91A06BB6F0E0}"/>
    <cellStyle name="Normal 5 2 2 2 2 7 2 3" xfId="13689" xr:uid="{95657682-6C7A-4A6F-9301-9C5699BEC244}"/>
    <cellStyle name="Normal 5 2 2 2 2 7 2 4" xfId="22136" xr:uid="{C724015B-65EC-444A-B8FF-7199F2E18705}"/>
    <cellStyle name="Normal 5 2 2 2 2 7 3" xfId="6435" xr:uid="{00000000-0005-0000-0000-000044170000}"/>
    <cellStyle name="Normal 5 2 2 2 2 7 3 2" xfId="15761" xr:uid="{7122610C-0613-497B-920D-C1D82182B34A}"/>
    <cellStyle name="Normal 5 2 2 2 2 7 3 3" xfId="24208" xr:uid="{02C80FEF-27C3-4FF6-8F1C-FB5FDD4DE8A6}"/>
    <cellStyle name="Normal 5 2 2 2 2 7 4" xfId="11544" xr:uid="{A2338359-5D53-4D70-93A0-6074300388D0}"/>
    <cellStyle name="Normal 5 2 2 2 2 7 5" xfId="19991" xr:uid="{CCD83513-C950-4899-B672-8E67EB55D802}"/>
    <cellStyle name="Normal 5 2 2 2 2 8" xfId="2565" xr:uid="{00000000-0005-0000-0000-000045170000}"/>
    <cellStyle name="Normal 5 2 2 2 2 8 2" xfId="6848" xr:uid="{00000000-0005-0000-0000-000046170000}"/>
    <cellStyle name="Normal 5 2 2 2 2 8 2 2" xfId="16174" xr:uid="{4E9FA6B3-5ED9-4EF6-AD8F-68E26CCBEECF}"/>
    <cellStyle name="Normal 5 2 2 2 2 8 2 3" xfId="24621" xr:uid="{9189A766-015B-44AC-9F4B-6EBCB87FA906}"/>
    <cellStyle name="Normal 5 2 2 2 2 8 3" xfId="11957" xr:uid="{39ED439A-1BC7-4012-B080-2B3D205F0F61}"/>
    <cellStyle name="Normal 5 2 2 2 2 8 4" xfId="20404" xr:uid="{3E34B905-A615-4E59-9032-1E6574122BE1}"/>
    <cellStyle name="Normal 5 2 2 2 2 9" xfId="4783" xr:uid="{00000000-0005-0000-0000-000047170000}"/>
    <cellStyle name="Normal 5 2 2 2 2 9 2" xfId="14109" xr:uid="{CF9C1EEE-9A87-4633-98F9-373946A384CA}"/>
    <cellStyle name="Normal 5 2 2 2 2 9 3" xfId="22556" xr:uid="{3465198A-A079-4097-BE8E-DC8A05E7EA24}"/>
    <cellStyle name="Normal 5 2 2 2 3" xfId="414" xr:uid="{00000000-0005-0000-0000-000048170000}"/>
    <cellStyle name="Normal 5 2 2 2 3 10" xfId="9896" xr:uid="{667E3FD3-1012-436D-A14F-C09278EAF357}"/>
    <cellStyle name="Normal 5 2 2 2 3 11" xfId="18343" xr:uid="{A72C9130-A9B3-4DDB-9EAA-E7E30DA955D5}"/>
    <cellStyle name="Normal 5 2 2 2 3 2" xfId="415" xr:uid="{00000000-0005-0000-0000-000049170000}"/>
    <cellStyle name="Normal 5 2 2 2 3 2 10" xfId="18344" xr:uid="{2EAE83C8-A6A9-40CF-B154-4C8ED4801165}"/>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E10FF910-59DB-4354-A449-E8E707B7B3CF}"/>
    <cellStyle name="Normal 5 2 2 2 3 2 2 2 2 3" xfId="25119" xr:uid="{5E3D8088-C620-4F7C-9729-027A5EEE982A}"/>
    <cellStyle name="Normal 5 2 2 2 3 2 2 2 3" xfId="12455" xr:uid="{41A1FAF5-F1F4-4278-8608-8F9FBF9FB7A3}"/>
    <cellStyle name="Normal 5 2 2 2 3 2 2 2 4" xfId="20902" xr:uid="{D724F295-921A-48F0-8C32-71008E7AB550}"/>
    <cellStyle name="Normal 5 2 2 2 3 2 2 3" xfId="5201" xr:uid="{00000000-0005-0000-0000-00004D170000}"/>
    <cellStyle name="Normal 5 2 2 2 3 2 2 3 2" xfId="14527" xr:uid="{5F1DFC18-9067-4DB4-B2D1-ACAC0A1E8525}"/>
    <cellStyle name="Normal 5 2 2 2 3 2 2 3 3" xfId="22974" xr:uid="{D988B049-6D41-408B-934A-C323569676E4}"/>
    <cellStyle name="Normal 5 2 2 2 3 2 2 4" xfId="9506" xr:uid="{65E8E1F9-5B62-47C9-8131-412DF42F5268}"/>
    <cellStyle name="Normal 5 2 2 2 3 2 2 5" xfId="10310" xr:uid="{2EEDE3C8-2879-4EE9-8007-4AFCE0783F63}"/>
    <cellStyle name="Normal 5 2 2 2 3 2 2 6" xfId="18757" xr:uid="{5A3581C8-DF4A-4CC5-A13D-4978538CD97A}"/>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E46441B8-CF1F-4DDC-B235-3950B310BF73}"/>
    <cellStyle name="Normal 5 2 2 2 3 2 3 2 2 3" xfId="25532" xr:uid="{C78FD986-BC81-4CA0-8882-F68FFC967F41}"/>
    <cellStyle name="Normal 5 2 2 2 3 2 3 2 3" xfId="12868" xr:uid="{D36BE911-6D94-40F4-A015-6667D3DF9021}"/>
    <cellStyle name="Normal 5 2 2 2 3 2 3 2 4" xfId="21315" xr:uid="{D34BBEE4-CF7A-4F30-8D97-03C17E64BBD8}"/>
    <cellStyle name="Normal 5 2 2 2 3 2 3 3" xfId="5614" xr:uid="{00000000-0005-0000-0000-000051170000}"/>
    <cellStyle name="Normal 5 2 2 2 3 2 3 3 2" xfId="14940" xr:uid="{E804D544-7AA9-40C5-B651-E65C274D6D8D}"/>
    <cellStyle name="Normal 5 2 2 2 3 2 3 3 3" xfId="23387" xr:uid="{D454A0BF-4995-4F14-8ECF-CCF86FA4A5C1}"/>
    <cellStyle name="Normal 5 2 2 2 3 2 3 4" xfId="10723" xr:uid="{1358646D-E69A-41C5-956F-972A22F41A18}"/>
    <cellStyle name="Normal 5 2 2 2 3 2 3 5" xfId="19170" xr:uid="{C0178201-DD3C-443E-BF25-B737E054EC72}"/>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C771458C-9342-4F7B-92EA-36DC7ADB1549}"/>
    <cellStyle name="Normal 5 2 2 2 3 2 4 2 2 3" xfId="25945" xr:uid="{7C62E649-D5EA-4B12-AA01-A123162B4684}"/>
    <cellStyle name="Normal 5 2 2 2 3 2 4 2 3" xfId="13281" xr:uid="{484F9558-BF78-4F81-AB12-ACA227250B18}"/>
    <cellStyle name="Normal 5 2 2 2 3 2 4 2 4" xfId="21728" xr:uid="{18A341F7-8F3C-4D74-94EF-4D185DDC7280}"/>
    <cellStyle name="Normal 5 2 2 2 3 2 4 3" xfId="6027" xr:uid="{00000000-0005-0000-0000-000055170000}"/>
    <cellStyle name="Normal 5 2 2 2 3 2 4 3 2" xfId="15353" xr:uid="{803D7F97-FC94-4988-8F04-575620177C0B}"/>
    <cellStyle name="Normal 5 2 2 2 3 2 4 3 3" xfId="23800" xr:uid="{FC036AAC-C084-4F8E-A283-A604A8BF3D77}"/>
    <cellStyle name="Normal 5 2 2 2 3 2 4 4" xfId="11136" xr:uid="{1EB43306-F80D-40B9-B7CE-A5187908FBE3}"/>
    <cellStyle name="Normal 5 2 2 2 3 2 4 5" xfId="19583" xr:uid="{9DCE4279-A45E-418B-9B40-7E9B014367E3}"/>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C71AC7BB-EC4E-4444-8725-C063E6314BEF}"/>
    <cellStyle name="Normal 5 2 2 2 3 2 5 2 2 3" xfId="26358" xr:uid="{EF0426FE-63C4-4E41-B093-5266BAAE3081}"/>
    <cellStyle name="Normal 5 2 2 2 3 2 5 2 3" xfId="13694" xr:uid="{49F9FA41-EE64-46B3-AF15-CBE3A4E75A1B}"/>
    <cellStyle name="Normal 5 2 2 2 3 2 5 2 4" xfId="22141" xr:uid="{A0AD1B8B-CA6E-4265-970D-E2502AC493A6}"/>
    <cellStyle name="Normal 5 2 2 2 3 2 5 3" xfId="6440" xr:uid="{00000000-0005-0000-0000-000059170000}"/>
    <cellStyle name="Normal 5 2 2 2 3 2 5 3 2" xfId="15766" xr:uid="{6B03CD7A-0FDC-41D5-AA2E-470259E046DE}"/>
    <cellStyle name="Normal 5 2 2 2 3 2 5 3 3" xfId="24213" xr:uid="{85510881-5C5E-437E-9254-33DC43A2C16E}"/>
    <cellStyle name="Normal 5 2 2 2 3 2 5 4" xfId="11549" xr:uid="{BDC12C6D-4230-4DFB-B1B8-7C86A3FE285A}"/>
    <cellStyle name="Normal 5 2 2 2 3 2 5 5" xfId="19996" xr:uid="{70C6BED9-3206-4246-A07D-520D2228619D}"/>
    <cellStyle name="Normal 5 2 2 2 3 2 6" xfId="2570" xr:uid="{00000000-0005-0000-0000-00005A170000}"/>
    <cellStyle name="Normal 5 2 2 2 3 2 6 2" xfId="6853" xr:uid="{00000000-0005-0000-0000-00005B170000}"/>
    <cellStyle name="Normal 5 2 2 2 3 2 6 2 2" xfId="16179" xr:uid="{32AA91CB-5E26-4F80-96A0-CDD7518CB5BF}"/>
    <cellStyle name="Normal 5 2 2 2 3 2 6 2 3" xfId="24626" xr:uid="{F798BD91-36EA-4227-9E97-1092632B34CF}"/>
    <cellStyle name="Normal 5 2 2 2 3 2 6 3" xfId="11962" xr:uid="{8C0D5F23-16B5-40DA-BEEA-A09BDF226E97}"/>
    <cellStyle name="Normal 5 2 2 2 3 2 6 4" xfId="20409" xr:uid="{DA97F256-BEFB-4EA6-ADC9-56CA96331E97}"/>
    <cellStyle name="Normal 5 2 2 2 3 2 7" xfId="4788" xr:uid="{00000000-0005-0000-0000-00005C170000}"/>
    <cellStyle name="Normal 5 2 2 2 3 2 7 2" xfId="14114" xr:uid="{434C5EBC-9183-4C11-9752-AAB2E128CBC5}"/>
    <cellStyle name="Normal 5 2 2 2 3 2 7 3" xfId="22561" xr:uid="{1EF5B1DE-43AC-4AC1-B3AA-25A8EC9B1D36}"/>
    <cellStyle name="Normal 5 2 2 2 3 2 8" xfId="9081" xr:uid="{B0400C6D-4400-4F06-9092-2DCAD3324CF1}"/>
    <cellStyle name="Normal 5 2 2 2 3 2 9" xfId="9897" xr:uid="{D0409BD6-4232-4C91-93AB-DFF8A9066A52}"/>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6A885CFE-3C8B-4773-B0AC-2DE339A3C3A7}"/>
    <cellStyle name="Normal 5 2 2 2 3 3 2 2 3" xfId="25118" xr:uid="{8B674CFB-02B6-41E4-99F1-C73100C2D869}"/>
    <cellStyle name="Normal 5 2 2 2 3 3 2 3" xfId="12454" xr:uid="{AE6535AC-65BA-4A02-AE4A-6DA4A01C15E4}"/>
    <cellStyle name="Normal 5 2 2 2 3 3 2 4" xfId="20901" xr:uid="{EB853B00-1733-4226-927D-4ED7B9ADD39A}"/>
    <cellStyle name="Normal 5 2 2 2 3 3 3" xfId="5200" xr:uid="{00000000-0005-0000-0000-000060170000}"/>
    <cellStyle name="Normal 5 2 2 2 3 3 3 2" xfId="14526" xr:uid="{145252CA-4072-4BF0-B1F5-E3C966EF4F06}"/>
    <cellStyle name="Normal 5 2 2 2 3 3 3 3" xfId="22973" xr:uid="{503E6D6E-F806-458A-A200-DC1ACAC81809}"/>
    <cellStyle name="Normal 5 2 2 2 3 3 4" xfId="9299" xr:uid="{85780536-A38F-4D86-8846-D9FA6BB2D61D}"/>
    <cellStyle name="Normal 5 2 2 2 3 3 5" xfId="10309" xr:uid="{B59600A9-2C93-4B14-B7CC-B97A2C57CD72}"/>
    <cellStyle name="Normal 5 2 2 2 3 3 6" xfId="18756" xr:uid="{09AADB14-D490-4920-B076-77486268FE59}"/>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1081CFA7-1137-4E76-83FD-BB9E0085C3C5}"/>
    <cellStyle name="Normal 5 2 2 2 3 4 2 2 3" xfId="25531" xr:uid="{AE839B03-AFEA-4803-804E-9E2AC2E2A9F3}"/>
    <cellStyle name="Normal 5 2 2 2 3 4 2 3" xfId="12867" xr:uid="{88DB20C3-2532-49DD-BDD8-EDDC648BAA44}"/>
    <cellStyle name="Normal 5 2 2 2 3 4 2 4" xfId="21314" xr:uid="{C0449FB2-C6B0-454D-B5A4-6E1AB75CBFD3}"/>
    <cellStyle name="Normal 5 2 2 2 3 4 3" xfId="5613" xr:uid="{00000000-0005-0000-0000-000064170000}"/>
    <cellStyle name="Normal 5 2 2 2 3 4 3 2" xfId="14939" xr:uid="{C56EFDF9-F743-48C8-9CE1-40BA197BEA3D}"/>
    <cellStyle name="Normal 5 2 2 2 3 4 3 3" xfId="23386" xr:uid="{7FF7E83D-7767-40F8-B11C-94758C1405F1}"/>
    <cellStyle name="Normal 5 2 2 2 3 4 4" xfId="10722" xr:uid="{E3D93412-C616-4500-A17E-01B8BCCF4A3E}"/>
    <cellStyle name="Normal 5 2 2 2 3 4 5" xfId="19169" xr:uid="{F2B03467-77BF-4E09-AF0D-DB88BD4FA194}"/>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3E817B93-AF7D-46A0-960F-F71205024A03}"/>
    <cellStyle name="Normal 5 2 2 2 3 5 2 2 3" xfId="25944" xr:uid="{34EA4FAA-BFEF-4B15-B8C7-BDB0A9EE3B9C}"/>
    <cellStyle name="Normal 5 2 2 2 3 5 2 3" xfId="13280" xr:uid="{6697492F-F5AE-4F3D-B4E5-B6BE9086C019}"/>
    <cellStyle name="Normal 5 2 2 2 3 5 2 4" xfId="21727" xr:uid="{9470F56D-8B17-4957-A647-AB3D644B3853}"/>
    <cellStyle name="Normal 5 2 2 2 3 5 3" xfId="6026" xr:uid="{00000000-0005-0000-0000-000068170000}"/>
    <cellStyle name="Normal 5 2 2 2 3 5 3 2" xfId="15352" xr:uid="{23183720-1E81-4321-B860-60FCEC9B7836}"/>
    <cellStyle name="Normal 5 2 2 2 3 5 3 3" xfId="23799" xr:uid="{03F8A7D7-BE01-4DEE-8546-D56FCB912265}"/>
    <cellStyle name="Normal 5 2 2 2 3 5 4" xfId="11135" xr:uid="{EF26A05D-B149-4DCC-B354-E5552A15E7A1}"/>
    <cellStyle name="Normal 5 2 2 2 3 5 5" xfId="19582" xr:uid="{60943BE6-EFD5-4F47-9E95-AE69266C83ED}"/>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47AC8280-9E12-476A-99AA-49BD44D43365}"/>
    <cellStyle name="Normal 5 2 2 2 3 6 2 2 3" xfId="26357" xr:uid="{19DAAA4B-7D38-4B89-A477-133CB4BB6B16}"/>
    <cellStyle name="Normal 5 2 2 2 3 6 2 3" xfId="13693" xr:uid="{DCFD06E7-6D27-4580-A4F8-8AD491AB2493}"/>
    <cellStyle name="Normal 5 2 2 2 3 6 2 4" xfId="22140" xr:uid="{42CC071B-9DA9-4049-9E3E-1453B1B444BD}"/>
    <cellStyle name="Normal 5 2 2 2 3 6 3" xfId="6439" xr:uid="{00000000-0005-0000-0000-00006C170000}"/>
    <cellStyle name="Normal 5 2 2 2 3 6 3 2" xfId="15765" xr:uid="{9607572B-9D9D-46A2-A69C-704DD06562DD}"/>
    <cellStyle name="Normal 5 2 2 2 3 6 3 3" xfId="24212" xr:uid="{62201A59-D3CE-49BB-BEC2-CA237D160583}"/>
    <cellStyle name="Normal 5 2 2 2 3 6 4" xfId="11548" xr:uid="{942FA898-2C87-4F6C-AAF5-25DFF9899B8F}"/>
    <cellStyle name="Normal 5 2 2 2 3 6 5" xfId="19995" xr:uid="{2BB27A9E-515C-47DC-92B2-0A01319D6ED0}"/>
    <cellStyle name="Normal 5 2 2 2 3 7" xfId="2569" xr:uid="{00000000-0005-0000-0000-00006D170000}"/>
    <cellStyle name="Normal 5 2 2 2 3 7 2" xfId="6852" xr:uid="{00000000-0005-0000-0000-00006E170000}"/>
    <cellStyle name="Normal 5 2 2 2 3 7 2 2" xfId="16178" xr:uid="{02A5A4CA-35D5-45B2-BA70-81F914D47BA5}"/>
    <cellStyle name="Normal 5 2 2 2 3 7 2 3" xfId="24625" xr:uid="{CC854F50-4E93-4441-AC8E-F5E69AD9F556}"/>
    <cellStyle name="Normal 5 2 2 2 3 7 3" xfId="11961" xr:uid="{518C461F-CE82-4C5B-8C8F-7D024666FBB3}"/>
    <cellStyle name="Normal 5 2 2 2 3 7 4" xfId="20408" xr:uid="{E0E6E99B-3F44-4611-BE48-B020F19AAB94}"/>
    <cellStyle name="Normal 5 2 2 2 3 8" xfId="4787" xr:uid="{00000000-0005-0000-0000-00006F170000}"/>
    <cellStyle name="Normal 5 2 2 2 3 8 2" xfId="14113" xr:uid="{C907E55A-0B3E-4094-9685-889FE5CC2428}"/>
    <cellStyle name="Normal 5 2 2 2 3 8 3" xfId="22560" xr:uid="{E8C9A913-AC01-4680-AB4A-39F788B279C5}"/>
    <cellStyle name="Normal 5 2 2 2 3 9" xfId="8874" xr:uid="{D7CEB9F3-DFA5-483F-B08A-C4A582DD7FE8}"/>
    <cellStyle name="Normal 5 2 2 2 4" xfId="416" xr:uid="{00000000-0005-0000-0000-000070170000}"/>
    <cellStyle name="Normal 5 2 2 2 4 10" xfId="18345" xr:uid="{8B286A47-3B8A-4FB3-B51B-EE46DC12139C}"/>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359AC42A-4963-4C8A-BA96-D1813B5F36C4}"/>
    <cellStyle name="Normal 5 2 2 2 4 2 2 2 3" xfId="25120" xr:uid="{1152068A-3D5C-4E6F-8ADF-E5EA17A0584D}"/>
    <cellStyle name="Normal 5 2 2 2 4 2 2 3" xfId="12456" xr:uid="{7BCADA3A-E53F-49F8-BF0D-AA2B7036EDDC}"/>
    <cellStyle name="Normal 5 2 2 2 4 2 2 4" xfId="20903" xr:uid="{BEDEF7D8-2E3A-45EE-8860-F9DB61B6D339}"/>
    <cellStyle name="Normal 5 2 2 2 4 2 3" xfId="5202" xr:uid="{00000000-0005-0000-0000-000074170000}"/>
    <cellStyle name="Normal 5 2 2 2 4 2 3 2" xfId="14528" xr:uid="{F9DFA8C0-F0A7-40A5-A9BB-5DA10B3E927F}"/>
    <cellStyle name="Normal 5 2 2 2 4 2 3 3" xfId="22975" xr:uid="{6F7C642B-8A6C-4B22-963B-786DD5C4363E}"/>
    <cellStyle name="Normal 5 2 2 2 4 2 4" xfId="9403" xr:uid="{DDA7C497-662A-4A76-A324-A27E6A0A2B3D}"/>
    <cellStyle name="Normal 5 2 2 2 4 2 5" xfId="10311" xr:uid="{5B147CDE-16B7-4E7F-A215-DA89D34D0348}"/>
    <cellStyle name="Normal 5 2 2 2 4 2 6" xfId="18758" xr:uid="{A77A6DB6-350C-4ED8-87FA-B66F388A464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9A9986A7-CB65-45A3-A6EA-8738F898E71B}"/>
    <cellStyle name="Normal 5 2 2 2 4 3 2 2 3" xfId="25533" xr:uid="{61AFB3FC-1C93-485E-B933-F8E913863192}"/>
    <cellStyle name="Normal 5 2 2 2 4 3 2 3" xfId="12869" xr:uid="{AA07065A-DC66-4120-BCBD-F7CD39D24648}"/>
    <cellStyle name="Normal 5 2 2 2 4 3 2 4" xfId="21316" xr:uid="{8BCAC1FC-E5AB-4E22-9553-505D2782D5E0}"/>
    <cellStyle name="Normal 5 2 2 2 4 3 3" xfId="5615" xr:uid="{00000000-0005-0000-0000-000078170000}"/>
    <cellStyle name="Normal 5 2 2 2 4 3 3 2" xfId="14941" xr:uid="{28EFB6BE-3C4A-4366-8946-1426FCF41BCD}"/>
    <cellStyle name="Normal 5 2 2 2 4 3 3 3" xfId="23388" xr:uid="{3E6BB55A-1C00-4EDC-B57B-8947DFB96841}"/>
    <cellStyle name="Normal 5 2 2 2 4 3 4" xfId="10724" xr:uid="{D9270B83-8DA9-4F7C-A2E4-19FDE2389DF3}"/>
    <cellStyle name="Normal 5 2 2 2 4 3 5" xfId="19171" xr:uid="{F225D21C-CCA3-4FDA-8E46-956A85010FB6}"/>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33A302D6-C963-4B64-AE88-7BEBC306E2D1}"/>
    <cellStyle name="Normal 5 2 2 2 4 4 2 2 3" xfId="25946" xr:uid="{B328EFDF-9EC2-4D0C-A772-7B94B194B0D4}"/>
    <cellStyle name="Normal 5 2 2 2 4 4 2 3" xfId="13282" xr:uid="{C71B4983-D68D-44B6-9FB0-66BE0205F955}"/>
    <cellStyle name="Normal 5 2 2 2 4 4 2 4" xfId="21729" xr:uid="{91F9A189-F502-4714-8BCF-79378FDCBE09}"/>
    <cellStyle name="Normal 5 2 2 2 4 4 3" xfId="6028" xr:uid="{00000000-0005-0000-0000-00007C170000}"/>
    <cellStyle name="Normal 5 2 2 2 4 4 3 2" xfId="15354" xr:uid="{8F6149D0-E0C3-4F07-B826-71CE96EE35C6}"/>
    <cellStyle name="Normal 5 2 2 2 4 4 3 3" xfId="23801" xr:uid="{7C262493-5C36-4C61-8084-949C3385E2A9}"/>
    <cellStyle name="Normal 5 2 2 2 4 4 4" xfId="11137" xr:uid="{828ABBE5-253B-4DE1-8C11-2330E67F8013}"/>
    <cellStyle name="Normal 5 2 2 2 4 4 5" xfId="19584" xr:uid="{343B8092-465B-45BE-B9F9-C58477291796}"/>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AF3BB5BA-648B-41EF-9074-86E5926551C5}"/>
    <cellStyle name="Normal 5 2 2 2 4 5 2 2 3" xfId="26359" xr:uid="{CB59D558-B353-4DC2-9EB5-FFA477607DB6}"/>
    <cellStyle name="Normal 5 2 2 2 4 5 2 3" xfId="13695" xr:uid="{CB0E5B3C-D31A-4A4E-AEEB-18CCD98FD9BC}"/>
    <cellStyle name="Normal 5 2 2 2 4 5 2 4" xfId="22142" xr:uid="{3DFA6F6E-BF46-446E-8385-29B56FAB547F}"/>
    <cellStyle name="Normal 5 2 2 2 4 5 3" xfId="6441" xr:uid="{00000000-0005-0000-0000-000080170000}"/>
    <cellStyle name="Normal 5 2 2 2 4 5 3 2" xfId="15767" xr:uid="{CAD6AA56-BC0B-426B-A260-66F336B98F98}"/>
    <cellStyle name="Normal 5 2 2 2 4 5 3 3" xfId="24214" xr:uid="{C26F7DA5-C087-4580-962B-150D8714B872}"/>
    <cellStyle name="Normal 5 2 2 2 4 5 4" xfId="11550" xr:uid="{2F4B28AC-3E38-46C0-9EDC-2F1025C38137}"/>
    <cellStyle name="Normal 5 2 2 2 4 5 5" xfId="19997" xr:uid="{EFCE136F-290D-4FDB-A9F2-5ADB05C0B4B3}"/>
    <cellStyle name="Normal 5 2 2 2 4 6" xfId="2571" xr:uid="{00000000-0005-0000-0000-000081170000}"/>
    <cellStyle name="Normal 5 2 2 2 4 6 2" xfId="6854" xr:uid="{00000000-0005-0000-0000-000082170000}"/>
    <cellStyle name="Normal 5 2 2 2 4 6 2 2" xfId="16180" xr:uid="{4B607858-19C0-4CD1-AE90-787A62374E61}"/>
    <cellStyle name="Normal 5 2 2 2 4 6 2 3" xfId="24627" xr:uid="{B2E6DADF-B294-4F98-A6DC-7AD52D953D6E}"/>
    <cellStyle name="Normal 5 2 2 2 4 6 3" xfId="11963" xr:uid="{37587879-4DF4-4158-B049-376BA16B9A06}"/>
    <cellStyle name="Normal 5 2 2 2 4 6 4" xfId="20410" xr:uid="{17F2403C-205D-4F8D-B49B-E2C4DC559513}"/>
    <cellStyle name="Normal 5 2 2 2 4 7" xfId="4789" xr:uid="{00000000-0005-0000-0000-000083170000}"/>
    <cellStyle name="Normal 5 2 2 2 4 7 2" xfId="14115" xr:uid="{5C875639-2664-4D38-BAB3-CBE59ECBE78C}"/>
    <cellStyle name="Normal 5 2 2 2 4 7 3" xfId="22562" xr:uid="{D3F3A912-9068-4E35-8060-FEE99811DED0}"/>
    <cellStyle name="Normal 5 2 2 2 4 8" xfId="8978" xr:uid="{5B5F86B4-BA0F-43A7-920A-E466FD014739}"/>
    <cellStyle name="Normal 5 2 2 2 4 9" xfId="9898" xr:uid="{E9468D2D-A152-405C-8722-9EF7D02742AD}"/>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178906C4-5E76-45E5-BC43-01377069A8D0}"/>
    <cellStyle name="Normal 5 2 2 2 5 2 2 3" xfId="25113" xr:uid="{B0FEA15B-1A8D-4967-8F43-EC62571D3313}"/>
    <cellStyle name="Normal 5 2 2 2 5 2 3" xfId="12449" xr:uid="{367D710A-1366-4AB3-9346-9B2913D765B4}"/>
    <cellStyle name="Normal 5 2 2 2 5 2 4" xfId="20896" xr:uid="{366E8A68-A438-45F9-9811-C4180FE6F76A}"/>
    <cellStyle name="Normal 5 2 2 2 5 3" xfId="5195" xr:uid="{00000000-0005-0000-0000-000087170000}"/>
    <cellStyle name="Normal 5 2 2 2 5 3 2" xfId="14521" xr:uid="{2576CAE1-82FD-4B18-8132-38FB8D1B5AF2}"/>
    <cellStyle name="Normal 5 2 2 2 5 3 3" xfId="22968" xr:uid="{6E69D911-B2A2-4190-80B8-5359CCB022F5}"/>
    <cellStyle name="Normal 5 2 2 2 5 4" xfId="9195" xr:uid="{A7E71EA0-2CA4-4918-870E-A32EEF45C61A}"/>
    <cellStyle name="Normal 5 2 2 2 5 5" xfId="10304" xr:uid="{2A17F76F-76AE-4E86-B27C-B2AF93371D18}"/>
    <cellStyle name="Normal 5 2 2 2 5 6" xfId="18751" xr:uid="{9C51A8AE-BE7E-42AD-983C-993B86A4181F}"/>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90C9A939-DF58-4725-93E5-B86EDA408715}"/>
    <cellStyle name="Normal 5 2 2 2 6 2 2 3" xfId="25526" xr:uid="{C0907AEC-632D-493B-9174-835A3E5206FA}"/>
    <cellStyle name="Normal 5 2 2 2 6 2 3" xfId="12862" xr:uid="{0D183C64-1410-406C-9881-98C74E168757}"/>
    <cellStyle name="Normal 5 2 2 2 6 2 4" xfId="21309" xr:uid="{68EF6F9B-E733-4718-BC02-684B19DF34CF}"/>
    <cellStyle name="Normal 5 2 2 2 6 3" xfId="5608" xr:uid="{00000000-0005-0000-0000-00008B170000}"/>
    <cellStyle name="Normal 5 2 2 2 6 3 2" xfId="14934" xr:uid="{2D039D9E-05B0-4C6E-AE79-665FA6C17D62}"/>
    <cellStyle name="Normal 5 2 2 2 6 3 3" xfId="23381" xr:uid="{AE967B9D-B0B2-4406-97F8-3C215954C32F}"/>
    <cellStyle name="Normal 5 2 2 2 6 4" xfId="10717" xr:uid="{6A581D0B-F83B-43D1-A69A-FA3414FDD15D}"/>
    <cellStyle name="Normal 5 2 2 2 6 5" xfId="19164" xr:uid="{E71500D1-BBD8-48C2-BDD8-1E37604A5A5C}"/>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9C934531-B76C-4480-AD46-60FBBA7F6532}"/>
    <cellStyle name="Normal 5 2 2 2 7 2 2 3" xfId="25939" xr:uid="{BFC02985-13B9-4574-B440-520E203539FF}"/>
    <cellStyle name="Normal 5 2 2 2 7 2 3" xfId="13275" xr:uid="{B3B3BB68-83D7-4447-975E-57F32E3144E3}"/>
    <cellStyle name="Normal 5 2 2 2 7 2 4" xfId="21722" xr:uid="{5B75C81A-81D7-455E-B663-AD9C08BB4FC4}"/>
    <cellStyle name="Normal 5 2 2 2 7 3" xfId="6021" xr:uid="{00000000-0005-0000-0000-00008F170000}"/>
    <cellStyle name="Normal 5 2 2 2 7 3 2" xfId="15347" xr:uid="{7DD9BFD9-E9B9-486B-B870-9E6CF19D4319}"/>
    <cellStyle name="Normal 5 2 2 2 7 3 3" xfId="23794" xr:uid="{F9A04E9B-36A6-4D71-96C7-86C192F105D1}"/>
    <cellStyle name="Normal 5 2 2 2 7 4" xfId="11130" xr:uid="{957976DB-CD46-4812-82D6-949F48FCABDB}"/>
    <cellStyle name="Normal 5 2 2 2 7 5" xfId="19577" xr:uid="{0DCAD348-0EE7-42EF-92D8-6106E69B14A7}"/>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D6AF83E5-606C-45B1-A0DC-C961C66EB8E5}"/>
    <cellStyle name="Normal 5 2 2 2 8 2 2 3" xfId="26352" xr:uid="{D7EF68CB-6C2A-4CBF-BD58-1FA10ECFD9C3}"/>
    <cellStyle name="Normal 5 2 2 2 8 2 3" xfId="13688" xr:uid="{C9F4A48E-EA54-4EA5-9CEC-D34CCEAA3625}"/>
    <cellStyle name="Normal 5 2 2 2 8 2 4" xfId="22135" xr:uid="{B3FEFD8B-32E8-4CF9-BB06-B3E6A86B66AB}"/>
    <cellStyle name="Normal 5 2 2 2 8 3" xfId="6434" xr:uid="{00000000-0005-0000-0000-000093170000}"/>
    <cellStyle name="Normal 5 2 2 2 8 3 2" xfId="15760" xr:uid="{D9D80B38-BA3B-4CBD-AD66-14BF26FF854D}"/>
    <cellStyle name="Normal 5 2 2 2 8 3 3" xfId="24207" xr:uid="{F4D65D3E-8C12-4CD3-A295-5DD3F22A7673}"/>
    <cellStyle name="Normal 5 2 2 2 8 4" xfId="11543" xr:uid="{31A89B38-3B2D-482C-8711-279CC372CF04}"/>
    <cellStyle name="Normal 5 2 2 2 8 5" xfId="19990" xr:uid="{598DA00D-DED7-485F-81D1-2BCE6E11AE1A}"/>
    <cellStyle name="Normal 5 2 2 2 9" xfId="2564" xr:uid="{00000000-0005-0000-0000-000094170000}"/>
    <cellStyle name="Normal 5 2 2 2 9 2" xfId="6847" xr:uid="{00000000-0005-0000-0000-000095170000}"/>
    <cellStyle name="Normal 5 2 2 2 9 2 2" xfId="16173" xr:uid="{0FFCA7D5-124F-48A0-B2D2-59F4BB67D30C}"/>
    <cellStyle name="Normal 5 2 2 2 9 2 3" xfId="24620" xr:uid="{A5DA2612-5E7D-45B4-BFEF-E1793D1567C0}"/>
    <cellStyle name="Normal 5 2 2 2 9 3" xfId="11956" xr:uid="{87556FF4-4889-4504-9504-1D91C1B48BF3}"/>
    <cellStyle name="Normal 5 2 2 2 9 4" xfId="20403" xr:uid="{048E8EF1-EE21-4790-AA2A-87F74AA0AE2A}"/>
    <cellStyle name="Normal 5 2 2 3" xfId="417" xr:uid="{00000000-0005-0000-0000-000096170000}"/>
    <cellStyle name="Normal 5 2 2 3 10" xfId="8828" xr:uid="{5CED8211-F967-469B-812B-9DF6FC250177}"/>
    <cellStyle name="Normal 5 2 2 3 11" xfId="9899" xr:uid="{B514D773-5B68-4876-9976-613FE127AD84}"/>
    <cellStyle name="Normal 5 2 2 3 12" xfId="18346" xr:uid="{0FA8B41C-EF4D-40D0-8139-BD6D1B0E8B50}"/>
    <cellStyle name="Normal 5 2 2 3 2" xfId="418" xr:uid="{00000000-0005-0000-0000-000097170000}"/>
    <cellStyle name="Normal 5 2 2 3 2 10" xfId="9900" xr:uid="{391E3370-8C86-4D29-A085-4408D92946C7}"/>
    <cellStyle name="Normal 5 2 2 3 2 11" xfId="18347" xr:uid="{9C67CE66-9AED-4825-9730-89AAA692214C}"/>
    <cellStyle name="Normal 5 2 2 3 2 2" xfId="419" xr:uid="{00000000-0005-0000-0000-000098170000}"/>
    <cellStyle name="Normal 5 2 2 3 2 2 10" xfId="18348" xr:uid="{D90ED9F5-E974-4D27-BE40-23950E3F438B}"/>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0F748E14-1F03-437F-8DBE-042A02ED09E6}"/>
    <cellStyle name="Normal 5 2 2 3 2 2 2 2 2 3" xfId="25123" xr:uid="{D02A16AD-557B-41BB-938E-06BB4FAE4E56}"/>
    <cellStyle name="Normal 5 2 2 3 2 2 2 2 3" xfId="12459" xr:uid="{D3786790-3DBC-4931-9191-0190357486E7}"/>
    <cellStyle name="Normal 5 2 2 3 2 2 2 2 4" xfId="20906" xr:uid="{8543E616-F473-4BE9-BB4E-52FD2AAF69E3}"/>
    <cellStyle name="Normal 5 2 2 3 2 2 2 3" xfId="5205" xr:uid="{00000000-0005-0000-0000-00009C170000}"/>
    <cellStyle name="Normal 5 2 2 3 2 2 2 3 2" xfId="14531" xr:uid="{96F0C1DD-837A-49BB-85B1-73382B042E43}"/>
    <cellStyle name="Normal 5 2 2 3 2 2 2 3 3" xfId="22978" xr:uid="{0FB59E73-9650-4888-858D-42360401B338}"/>
    <cellStyle name="Normal 5 2 2 3 2 2 2 4" xfId="9563" xr:uid="{804E641C-B5FA-46A3-B805-C1D4AF390C28}"/>
    <cellStyle name="Normal 5 2 2 3 2 2 2 5" xfId="10314" xr:uid="{D0DE30BE-AED5-4410-A7A1-E55867F1BC37}"/>
    <cellStyle name="Normal 5 2 2 3 2 2 2 6" xfId="18761" xr:uid="{74A80F03-8C78-48A8-827C-7A7216B527FE}"/>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275028ED-A596-4E36-A914-9407B20A9981}"/>
    <cellStyle name="Normal 5 2 2 3 2 2 3 2 2 3" xfId="25536" xr:uid="{D34D96F8-7C3D-43FA-8F87-050B14A59802}"/>
    <cellStyle name="Normal 5 2 2 3 2 2 3 2 3" xfId="12872" xr:uid="{1A5B069D-0EED-4723-BAF5-51375BEE0359}"/>
    <cellStyle name="Normal 5 2 2 3 2 2 3 2 4" xfId="21319" xr:uid="{CBCE7E9A-1C40-49C3-AF79-C92DA9F2F0D5}"/>
    <cellStyle name="Normal 5 2 2 3 2 2 3 3" xfId="5618" xr:uid="{00000000-0005-0000-0000-0000A0170000}"/>
    <cellStyle name="Normal 5 2 2 3 2 2 3 3 2" xfId="14944" xr:uid="{24886C08-3BE9-4838-98C5-2FDFB84BC632}"/>
    <cellStyle name="Normal 5 2 2 3 2 2 3 3 3" xfId="23391" xr:uid="{987D8B7D-6DFB-464B-8D43-75325B8637C8}"/>
    <cellStyle name="Normal 5 2 2 3 2 2 3 4" xfId="10727" xr:uid="{243C1BAC-E4A7-409B-A172-D1655D66E141}"/>
    <cellStyle name="Normal 5 2 2 3 2 2 3 5" xfId="19174" xr:uid="{9CE11804-C295-4DCE-B9F7-A868953467D8}"/>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F3387B66-5E66-4BCA-B248-A86B10E5105C}"/>
    <cellStyle name="Normal 5 2 2 3 2 2 4 2 2 3" xfId="25949" xr:uid="{A470632F-7BD8-42A6-8962-BA080EB3DE66}"/>
    <cellStyle name="Normal 5 2 2 3 2 2 4 2 3" xfId="13285" xr:uid="{FF1D5852-B1A7-44B2-8F49-D811466AEFEF}"/>
    <cellStyle name="Normal 5 2 2 3 2 2 4 2 4" xfId="21732" xr:uid="{98C5B10C-3FE9-4C2A-98D3-DAE25E5C7E51}"/>
    <cellStyle name="Normal 5 2 2 3 2 2 4 3" xfId="6031" xr:uid="{00000000-0005-0000-0000-0000A4170000}"/>
    <cellStyle name="Normal 5 2 2 3 2 2 4 3 2" xfId="15357" xr:uid="{C8674819-AA07-490D-B0E2-8751D8CF218A}"/>
    <cellStyle name="Normal 5 2 2 3 2 2 4 3 3" xfId="23804" xr:uid="{1EFFEB33-1132-47CE-BB37-0E1996257ADB}"/>
    <cellStyle name="Normal 5 2 2 3 2 2 4 4" xfId="11140" xr:uid="{2CCB2CE9-DBD1-46E0-8C41-669B8FD03163}"/>
    <cellStyle name="Normal 5 2 2 3 2 2 4 5" xfId="19587" xr:uid="{D8501DEB-D7F0-44A8-B082-20DB4AA8F68D}"/>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82378747-51AE-4F91-8246-673BF24F1C14}"/>
    <cellStyle name="Normal 5 2 2 3 2 2 5 2 2 3" xfId="26362" xr:uid="{B1F2F682-66F1-4FBC-BEC9-EB897D077062}"/>
    <cellStyle name="Normal 5 2 2 3 2 2 5 2 3" xfId="13698" xr:uid="{3C12EE48-CFA0-4D65-A1A8-2C099968AEAA}"/>
    <cellStyle name="Normal 5 2 2 3 2 2 5 2 4" xfId="22145" xr:uid="{5CB6AB3A-7383-4988-B631-DAD9DDF6FF47}"/>
    <cellStyle name="Normal 5 2 2 3 2 2 5 3" xfId="6444" xr:uid="{00000000-0005-0000-0000-0000A8170000}"/>
    <cellStyle name="Normal 5 2 2 3 2 2 5 3 2" xfId="15770" xr:uid="{7FB3C623-6D0C-4167-9E0F-CCFD9AF30F22}"/>
    <cellStyle name="Normal 5 2 2 3 2 2 5 3 3" xfId="24217" xr:uid="{F4F5E7F8-6326-4BFD-AEC0-C8B1EEE87A75}"/>
    <cellStyle name="Normal 5 2 2 3 2 2 5 4" xfId="11553" xr:uid="{F00FE005-11D7-491B-B181-3D6B7BE40AC5}"/>
    <cellStyle name="Normal 5 2 2 3 2 2 5 5" xfId="20000" xr:uid="{CDEDCAF7-5079-4AA3-ADEB-0AEE77B674CF}"/>
    <cellStyle name="Normal 5 2 2 3 2 2 6" xfId="2574" xr:uid="{00000000-0005-0000-0000-0000A9170000}"/>
    <cellStyle name="Normal 5 2 2 3 2 2 6 2" xfId="6857" xr:uid="{00000000-0005-0000-0000-0000AA170000}"/>
    <cellStyle name="Normal 5 2 2 3 2 2 6 2 2" xfId="16183" xr:uid="{4D434243-BDDA-4613-8D8F-1CCA5D8F70B5}"/>
    <cellStyle name="Normal 5 2 2 3 2 2 6 2 3" xfId="24630" xr:uid="{0B822275-3CB5-493D-93B5-10F6E6CDF1E7}"/>
    <cellStyle name="Normal 5 2 2 3 2 2 6 3" xfId="11966" xr:uid="{1DDACDEE-5C00-4F65-A8A4-FE81F3019F96}"/>
    <cellStyle name="Normal 5 2 2 3 2 2 6 4" xfId="20413" xr:uid="{1DD6A48A-FD0C-4B5F-AA53-A901AFF4D9AE}"/>
    <cellStyle name="Normal 5 2 2 3 2 2 7" xfId="4792" xr:uid="{00000000-0005-0000-0000-0000AB170000}"/>
    <cellStyle name="Normal 5 2 2 3 2 2 7 2" xfId="14118" xr:uid="{FF2725B3-20D0-4ED5-A128-752EADFC4397}"/>
    <cellStyle name="Normal 5 2 2 3 2 2 7 3" xfId="22565" xr:uid="{72192BB3-0137-4B48-BB3F-D4C79F330EB6}"/>
    <cellStyle name="Normal 5 2 2 3 2 2 8" xfId="9138" xr:uid="{BE73D583-3CAB-48A9-8A6F-E88EE69D1D1D}"/>
    <cellStyle name="Normal 5 2 2 3 2 2 9" xfId="9901" xr:uid="{2060610E-9164-4873-B854-2CFB4499650E}"/>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1E877957-1863-4EEE-88D6-058305B9CCFC}"/>
    <cellStyle name="Normal 5 2 2 3 2 3 2 2 3" xfId="25122" xr:uid="{DABC3080-A621-4A54-99E3-12BFE0D11E65}"/>
    <cellStyle name="Normal 5 2 2 3 2 3 2 3" xfId="12458" xr:uid="{64665E95-0BAA-4273-987D-97D36F1652C0}"/>
    <cellStyle name="Normal 5 2 2 3 2 3 2 4" xfId="20905" xr:uid="{AB0E4986-4E49-4506-9127-137CA47B7614}"/>
    <cellStyle name="Normal 5 2 2 3 2 3 3" xfId="5204" xr:uid="{00000000-0005-0000-0000-0000AF170000}"/>
    <cellStyle name="Normal 5 2 2 3 2 3 3 2" xfId="14530" xr:uid="{3AC531A2-D1DC-40A0-8CED-3E707D8CAD91}"/>
    <cellStyle name="Normal 5 2 2 3 2 3 3 3" xfId="22977" xr:uid="{6A51D44C-D9BF-4C9C-BA4F-A0042E69B43F}"/>
    <cellStyle name="Normal 5 2 2 3 2 3 4" xfId="9356" xr:uid="{58BAA3B3-A7A2-4F6F-9929-D8BE9F0A557D}"/>
    <cellStyle name="Normal 5 2 2 3 2 3 5" xfId="10313" xr:uid="{E6659AA1-0421-42E9-A1AE-A43D99474081}"/>
    <cellStyle name="Normal 5 2 2 3 2 3 6" xfId="18760" xr:uid="{9CA90CA0-6098-4D32-B872-278C9B039FDB}"/>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D50FF666-AC57-40B0-9460-B24BB64BC348}"/>
    <cellStyle name="Normal 5 2 2 3 2 4 2 2 3" xfId="25535" xr:uid="{1379035B-4265-41F4-AC10-030C74877653}"/>
    <cellStyle name="Normal 5 2 2 3 2 4 2 3" xfId="12871" xr:uid="{F140D168-6E97-4D92-B227-0C9CD9F6B65B}"/>
    <cellStyle name="Normal 5 2 2 3 2 4 2 4" xfId="21318" xr:uid="{DA036A91-90DB-4ECB-8DEC-A5AED97BE037}"/>
    <cellStyle name="Normal 5 2 2 3 2 4 3" xfId="5617" xr:uid="{00000000-0005-0000-0000-0000B3170000}"/>
    <cellStyle name="Normal 5 2 2 3 2 4 3 2" xfId="14943" xr:uid="{091EF7AE-F1A5-40DC-9D42-FBB3B1A17C51}"/>
    <cellStyle name="Normal 5 2 2 3 2 4 3 3" xfId="23390" xr:uid="{68226D54-EA42-455B-82C0-15F74AB9275A}"/>
    <cellStyle name="Normal 5 2 2 3 2 4 4" xfId="10726" xr:uid="{B1B2B3C5-9718-4EB5-A0CB-EECD7464537A}"/>
    <cellStyle name="Normal 5 2 2 3 2 4 5" xfId="19173" xr:uid="{ED4D0ADD-61CB-41EC-89CC-4E618DE58D11}"/>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D7207407-FB64-4E37-98DB-030A13D6435E}"/>
    <cellStyle name="Normal 5 2 2 3 2 5 2 2 3" xfId="25948" xr:uid="{035A5940-C041-4654-A97E-F05AFC6904CF}"/>
    <cellStyle name="Normal 5 2 2 3 2 5 2 3" xfId="13284" xr:uid="{A8FF78A0-D242-4D6F-948C-E6E575BE1E22}"/>
    <cellStyle name="Normal 5 2 2 3 2 5 2 4" xfId="21731" xr:uid="{6FF66267-6D46-4CC4-A8AD-81C1AD72CC10}"/>
    <cellStyle name="Normal 5 2 2 3 2 5 3" xfId="6030" xr:uid="{00000000-0005-0000-0000-0000B7170000}"/>
    <cellStyle name="Normal 5 2 2 3 2 5 3 2" xfId="15356" xr:uid="{12ABFB92-D5ED-4B24-BA34-5732A8A44CC4}"/>
    <cellStyle name="Normal 5 2 2 3 2 5 3 3" xfId="23803" xr:uid="{E09FF9B6-4F7E-4B3F-BA99-21E375C982EA}"/>
    <cellStyle name="Normal 5 2 2 3 2 5 4" xfId="11139" xr:uid="{BC402A1E-9A9F-49DD-B61E-FDFA455831BD}"/>
    <cellStyle name="Normal 5 2 2 3 2 5 5" xfId="19586" xr:uid="{A2675CC9-321C-4197-B433-E4C29218A4D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CE11A0E7-03BA-4B91-9CBD-FD83FE646DB8}"/>
    <cellStyle name="Normal 5 2 2 3 2 6 2 2 3" xfId="26361" xr:uid="{B9DB33CC-4EB1-43F9-8DBD-B41DFE895ED0}"/>
    <cellStyle name="Normal 5 2 2 3 2 6 2 3" xfId="13697" xr:uid="{3F8D9BE6-2C31-47E0-B811-D54DD3093A75}"/>
    <cellStyle name="Normal 5 2 2 3 2 6 2 4" xfId="22144" xr:uid="{28C5EDA4-2D8B-46CD-AEAC-90CDA5D472DA}"/>
    <cellStyle name="Normal 5 2 2 3 2 6 3" xfId="6443" xr:uid="{00000000-0005-0000-0000-0000BB170000}"/>
    <cellStyle name="Normal 5 2 2 3 2 6 3 2" xfId="15769" xr:uid="{F13EFC1F-310E-4760-8042-DAC45BE5540D}"/>
    <cellStyle name="Normal 5 2 2 3 2 6 3 3" xfId="24216" xr:uid="{7865571B-5472-44F0-B1BA-32F86F0C1995}"/>
    <cellStyle name="Normal 5 2 2 3 2 6 4" xfId="11552" xr:uid="{438A4CBF-EC30-46BB-8EB3-7EADF1AF15C6}"/>
    <cellStyle name="Normal 5 2 2 3 2 6 5" xfId="19999" xr:uid="{C9AEDA54-E055-48D9-961C-E62EE271239B}"/>
    <cellStyle name="Normal 5 2 2 3 2 7" xfId="2573" xr:uid="{00000000-0005-0000-0000-0000BC170000}"/>
    <cellStyle name="Normal 5 2 2 3 2 7 2" xfId="6856" xr:uid="{00000000-0005-0000-0000-0000BD170000}"/>
    <cellStyle name="Normal 5 2 2 3 2 7 2 2" xfId="16182" xr:uid="{64058767-00F9-4410-AE53-09B38719D0CB}"/>
    <cellStyle name="Normal 5 2 2 3 2 7 2 3" xfId="24629" xr:uid="{ABE5E650-2606-478D-BB5D-428A0B06AC19}"/>
    <cellStyle name="Normal 5 2 2 3 2 7 3" xfId="11965" xr:uid="{E838173E-B43C-449F-BF61-C0D0334523D6}"/>
    <cellStyle name="Normal 5 2 2 3 2 7 4" xfId="20412" xr:uid="{74B62EB6-7576-4ECB-A115-F51A64EE2FD1}"/>
    <cellStyle name="Normal 5 2 2 3 2 8" xfId="4791" xr:uid="{00000000-0005-0000-0000-0000BE170000}"/>
    <cellStyle name="Normal 5 2 2 3 2 8 2" xfId="14117" xr:uid="{96BB3CAE-16D2-42B6-8FFA-D30AD8C6C7EA}"/>
    <cellStyle name="Normal 5 2 2 3 2 8 3" xfId="22564" xr:uid="{C482A91D-8801-4A23-B676-DE7538B6DE30}"/>
    <cellStyle name="Normal 5 2 2 3 2 9" xfId="8931" xr:uid="{E27E09D3-2564-4B82-8EA4-A27330B6B436}"/>
    <cellStyle name="Normal 5 2 2 3 3" xfId="420" xr:uid="{00000000-0005-0000-0000-0000BF170000}"/>
    <cellStyle name="Normal 5 2 2 3 3 10" xfId="18349" xr:uid="{D35BF4A7-CF42-4552-88BE-A8B72977DC51}"/>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FC58E767-573D-4140-97D1-156E5EAF3DA7}"/>
    <cellStyle name="Normal 5 2 2 3 3 2 2 2 3" xfId="25124" xr:uid="{2220E4F5-4D72-4AA4-BB21-166060FCC248}"/>
    <cellStyle name="Normal 5 2 2 3 3 2 2 3" xfId="12460" xr:uid="{A31CE839-A668-432B-A446-A550044E2FCF}"/>
    <cellStyle name="Normal 5 2 2 3 3 2 2 4" xfId="20907" xr:uid="{812F79AB-93C7-40B0-A3CE-01C749C00DE9}"/>
    <cellStyle name="Normal 5 2 2 3 3 2 3" xfId="5206" xr:uid="{00000000-0005-0000-0000-0000C3170000}"/>
    <cellStyle name="Normal 5 2 2 3 3 2 3 2" xfId="14532" xr:uid="{555F04AA-1369-4A69-B261-3C7F760219DF}"/>
    <cellStyle name="Normal 5 2 2 3 3 2 3 3" xfId="22979" xr:uid="{15DC9564-2697-4EE6-91BF-46CB7911BEB5}"/>
    <cellStyle name="Normal 5 2 2 3 3 2 4" xfId="9460" xr:uid="{423E0BE9-24F3-4EF0-8962-2565594BF831}"/>
    <cellStyle name="Normal 5 2 2 3 3 2 5" xfId="10315" xr:uid="{115BAC7C-EE6E-4D9F-8A8B-B29D98B94B5A}"/>
    <cellStyle name="Normal 5 2 2 3 3 2 6" xfId="18762" xr:uid="{5D74FF78-3677-4397-93E0-C57980B4A216}"/>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42E07F9C-3958-4684-8961-BC87C6057FC1}"/>
    <cellStyle name="Normal 5 2 2 3 3 3 2 2 3" xfId="25537" xr:uid="{3FB5D467-8EB1-4E57-83F6-5AFDD74391E5}"/>
    <cellStyle name="Normal 5 2 2 3 3 3 2 3" xfId="12873" xr:uid="{CF719C0A-8C01-4103-9048-400E4F43621E}"/>
    <cellStyle name="Normal 5 2 2 3 3 3 2 4" xfId="21320" xr:uid="{66F7CD87-FED7-44F4-B393-586ACC22298F}"/>
    <cellStyle name="Normal 5 2 2 3 3 3 3" xfId="5619" xr:uid="{00000000-0005-0000-0000-0000C7170000}"/>
    <cellStyle name="Normal 5 2 2 3 3 3 3 2" xfId="14945" xr:uid="{73F8BF6B-D83E-4C6C-9CA0-242410BD54BC}"/>
    <cellStyle name="Normal 5 2 2 3 3 3 3 3" xfId="23392" xr:uid="{F3AAC1CA-32F7-40CB-ABEC-8D3633A462D4}"/>
    <cellStyle name="Normal 5 2 2 3 3 3 4" xfId="10728" xr:uid="{4753A33C-784D-4AE8-BD99-11A49DE02D35}"/>
    <cellStyle name="Normal 5 2 2 3 3 3 5" xfId="19175" xr:uid="{096E134F-4AD7-479F-9E23-7498638E2327}"/>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E66C3E4E-267F-4C80-834F-3E546C274532}"/>
    <cellStyle name="Normal 5 2 2 3 3 4 2 2 3" xfId="25950" xr:uid="{824FB8C7-C281-442C-BCF2-257D55BC60B5}"/>
    <cellStyle name="Normal 5 2 2 3 3 4 2 3" xfId="13286" xr:uid="{458CF5D8-5843-45D6-A141-01C958BA4D10}"/>
    <cellStyle name="Normal 5 2 2 3 3 4 2 4" xfId="21733" xr:uid="{E3499611-EBAC-44BF-A743-ED82F4DA0319}"/>
    <cellStyle name="Normal 5 2 2 3 3 4 3" xfId="6032" xr:uid="{00000000-0005-0000-0000-0000CB170000}"/>
    <cellStyle name="Normal 5 2 2 3 3 4 3 2" xfId="15358" xr:uid="{EDD64E35-61E1-4986-B704-731BEB144021}"/>
    <cellStyle name="Normal 5 2 2 3 3 4 3 3" xfId="23805" xr:uid="{25EF16D4-57F5-4F28-B63F-7C218577909E}"/>
    <cellStyle name="Normal 5 2 2 3 3 4 4" xfId="11141" xr:uid="{F86C778F-EE24-4CC8-9FCE-04FD24C86B7E}"/>
    <cellStyle name="Normal 5 2 2 3 3 4 5" xfId="19588" xr:uid="{2E9A3EA0-D337-4B1C-BCC7-41A34BB8B3B3}"/>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C5B76E60-EF55-4946-A63B-74D18A64C61F}"/>
    <cellStyle name="Normal 5 2 2 3 3 5 2 2 3" xfId="26363" xr:uid="{95E7B0EC-EE1E-4CFF-BF3C-CF8FDDFFFFAF}"/>
    <cellStyle name="Normal 5 2 2 3 3 5 2 3" xfId="13699" xr:uid="{8E7F08E7-1C25-40A9-807D-DD0F59325666}"/>
    <cellStyle name="Normal 5 2 2 3 3 5 2 4" xfId="22146" xr:uid="{DD49535F-4F2F-422D-AF35-345B4FA7C49F}"/>
    <cellStyle name="Normal 5 2 2 3 3 5 3" xfId="6445" xr:uid="{00000000-0005-0000-0000-0000CF170000}"/>
    <cellStyle name="Normal 5 2 2 3 3 5 3 2" xfId="15771" xr:uid="{3614D64D-B8EA-4F11-8C7F-5C72B3DF541A}"/>
    <cellStyle name="Normal 5 2 2 3 3 5 3 3" xfId="24218" xr:uid="{4115F367-428C-4D0B-93CC-9FD1770D891E}"/>
    <cellStyle name="Normal 5 2 2 3 3 5 4" xfId="11554" xr:uid="{DCDB21D9-F9D5-43F8-99F5-A2C3910BD3A0}"/>
    <cellStyle name="Normal 5 2 2 3 3 5 5" xfId="20001" xr:uid="{12E7A213-101F-4D5C-9F38-DFE7E4FD1612}"/>
    <cellStyle name="Normal 5 2 2 3 3 6" xfId="2575" xr:uid="{00000000-0005-0000-0000-0000D0170000}"/>
    <cellStyle name="Normal 5 2 2 3 3 6 2" xfId="6858" xr:uid="{00000000-0005-0000-0000-0000D1170000}"/>
    <cellStyle name="Normal 5 2 2 3 3 6 2 2" xfId="16184" xr:uid="{9182DE73-1C3B-47B4-AEED-4ACB14F0F8C6}"/>
    <cellStyle name="Normal 5 2 2 3 3 6 2 3" xfId="24631" xr:uid="{2B646F96-7F32-456D-92E6-0D15A59DC7E6}"/>
    <cellStyle name="Normal 5 2 2 3 3 6 3" xfId="11967" xr:uid="{A26A45B4-E899-415F-9E87-96CA0C49C217}"/>
    <cellStyle name="Normal 5 2 2 3 3 6 4" xfId="20414" xr:uid="{FCC54A14-AA5A-4485-B8A0-C940915518A7}"/>
    <cellStyle name="Normal 5 2 2 3 3 7" xfId="4793" xr:uid="{00000000-0005-0000-0000-0000D2170000}"/>
    <cellStyle name="Normal 5 2 2 3 3 7 2" xfId="14119" xr:uid="{DAF64F29-EC61-47ED-926A-C7CD68DD62BA}"/>
    <cellStyle name="Normal 5 2 2 3 3 7 3" xfId="22566" xr:uid="{BDA2A802-CF50-4958-A852-840AB014C18C}"/>
    <cellStyle name="Normal 5 2 2 3 3 8" xfId="9035" xr:uid="{6AC57173-16AF-4847-A277-E4254AACDA36}"/>
    <cellStyle name="Normal 5 2 2 3 3 9" xfId="9902" xr:uid="{6B615F52-8FB0-474D-B10C-835FAA6C3B56}"/>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BE0FFF28-97CD-49C2-9CB4-C10FD177CC31}"/>
    <cellStyle name="Normal 5 2 2 3 4 2 2 3" xfId="25121" xr:uid="{80B1EE44-3E69-42E7-BFAD-12818F19BBAC}"/>
    <cellStyle name="Normal 5 2 2 3 4 2 3" xfId="12457" xr:uid="{BD98CF83-2E93-4845-A261-26635A96CA83}"/>
    <cellStyle name="Normal 5 2 2 3 4 2 4" xfId="20904" xr:uid="{45D0E006-3873-40A9-8FE0-6C166233A8DB}"/>
    <cellStyle name="Normal 5 2 2 3 4 3" xfId="5203" xr:uid="{00000000-0005-0000-0000-0000D6170000}"/>
    <cellStyle name="Normal 5 2 2 3 4 3 2" xfId="14529" xr:uid="{31D0C2DC-14AF-41C3-9553-B90E379EC98F}"/>
    <cellStyle name="Normal 5 2 2 3 4 3 3" xfId="22976" xr:uid="{BA8F8B35-89A0-499F-97F5-7E2DCEBA6619}"/>
    <cellStyle name="Normal 5 2 2 3 4 4" xfId="9253" xr:uid="{A5C3AAF9-67DD-41B1-A0BF-05B69F588F71}"/>
    <cellStyle name="Normal 5 2 2 3 4 5" xfId="10312" xr:uid="{A4F06E12-7A64-414F-BBE2-CC92A2B812D7}"/>
    <cellStyle name="Normal 5 2 2 3 4 6" xfId="18759" xr:uid="{ACD5BEF9-303F-436C-9B54-F66B5D69A08C}"/>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59EB64F8-4EE3-4F34-A678-EF364D5601CD}"/>
    <cellStyle name="Normal 5 2 2 3 5 2 2 3" xfId="25534" xr:uid="{6FF0A361-D977-4492-9E22-E31958E6764D}"/>
    <cellStyle name="Normal 5 2 2 3 5 2 3" xfId="12870" xr:uid="{F25BE072-3A36-4FB9-83E3-E1D8528B3868}"/>
    <cellStyle name="Normal 5 2 2 3 5 2 4" xfId="21317" xr:uid="{F437B286-FB55-4E1E-BE9B-AF4296DF5FA9}"/>
    <cellStyle name="Normal 5 2 2 3 5 3" xfId="5616" xr:uid="{00000000-0005-0000-0000-0000DA170000}"/>
    <cellStyle name="Normal 5 2 2 3 5 3 2" xfId="14942" xr:uid="{E2994095-233D-4B7D-BB61-8CB647C47491}"/>
    <cellStyle name="Normal 5 2 2 3 5 3 3" xfId="23389" xr:uid="{D4EBE375-BBFA-4F0D-83F8-2E1A6B950399}"/>
    <cellStyle name="Normal 5 2 2 3 5 4" xfId="10725" xr:uid="{97CAE92C-3F74-45BA-A3E5-BACFCBAB94D9}"/>
    <cellStyle name="Normal 5 2 2 3 5 5" xfId="19172" xr:uid="{D587843A-C434-41CD-B18C-59B852B5F5CD}"/>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E22977B7-F850-4D62-A7F9-F95BB0B391EA}"/>
    <cellStyle name="Normal 5 2 2 3 6 2 2 3" xfId="25947" xr:uid="{C622C8D8-24AF-42D8-BFD1-7A7FEDE1351A}"/>
    <cellStyle name="Normal 5 2 2 3 6 2 3" xfId="13283" xr:uid="{3B39C40D-3A2C-41EF-8F22-D10E7DA00582}"/>
    <cellStyle name="Normal 5 2 2 3 6 2 4" xfId="21730" xr:uid="{E78E7896-ADA3-4137-883E-AB8D7699D295}"/>
    <cellStyle name="Normal 5 2 2 3 6 3" xfId="6029" xr:uid="{00000000-0005-0000-0000-0000DE170000}"/>
    <cellStyle name="Normal 5 2 2 3 6 3 2" xfId="15355" xr:uid="{DD80E9A9-4B5B-4085-A480-F6AD98069E52}"/>
    <cellStyle name="Normal 5 2 2 3 6 3 3" xfId="23802" xr:uid="{384B2D08-7F9E-4461-9225-8BD99B471C9A}"/>
    <cellStyle name="Normal 5 2 2 3 6 4" xfId="11138" xr:uid="{E7081764-98C3-4302-8850-496E66F3824A}"/>
    <cellStyle name="Normal 5 2 2 3 6 5" xfId="19585" xr:uid="{52880E84-CD96-4335-8888-9210EF7EA818}"/>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3333358E-F06D-4CB1-BCB4-6F5BD92F33E3}"/>
    <cellStyle name="Normal 5 2 2 3 7 2 2 3" xfId="26360" xr:uid="{94096965-DBCE-47C0-8188-7ADECCEEF5CC}"/>
    <cellStyle name="Normal 5 2 2 3 7 2 3" xfId="13696" xr:uid="{46804347-9B62-4B11-BFC6-03483B1C95D8}"/>
    <cellStyle name="Normal 5 2 2 3 7 2 4" xfId="22143" xr:uid="{4E657E9C-83DB-4331-91D1-639589A8B7BF}"/>
    <cellStyle name="Normal 5 2 2 3 7 3" xfId="6442" xr:uid="{00000000-0005-0000-0000-0000E2170000}"/>
    <cellStyle name="Normal 5 2 2 3 7 3 2" xfId="15768" xr:uid="{427AD87A-4019-41F5-9892-C0E4B2DFA4E2}"/>
    <cellStyle name="Normal 5 2 2 3 7 3 3" xfId="24215" xr:uid="{85765652-0256-4612-9BB5-66F086E63A89}"/>
    <cellStyle name="Normal 5 2 2 3 7 4" xfId="11551" xr:uid="{F6791162-897E-40F0-9932-193B005DB749}"/>
    <cellStyle name="Normal 5 2 2 3 7 5" xfId="19998" xr:uid="{49C1A0E6-6B1A-494E-A935-847EECDE5E08}"/>
    <cellStyle name="Normal 5 2 2 3 8" xfId="2572" xr:uid="{00000000-0005-0000-0000-0000E3170000}"/>
    <cellStyle name="Normal 5 2 2 3 8 2" xfId="6855" xr:uid="{00000000-0005-0000-0000-0000E4170000}"/>
    <cellStyle name="Normal 5 2 2 3 8 2 2" xfId="16181" xr:uid="{525DC799-9365-45B1-9304-D809B074E2DB}"/>
    <cellStyle name="Normal 5 2 2 3 8 2 3" xfId="24628" xr:uid="{FF368C10-27CB-437F-A638-30A63588A469}"/>
    <cellStyle name="Normal 5 2 2 3 8 3" xfId="11964" xr:uid="{2DACA93C-73AB-4DE3-B58D-50903D1EC80E}"/>
    <cellStyle name="Normal 5 2 2 3 8 4" xfId="20411" xr:uid="{77E87AD9-40DA-4F4C-8563-995970B69B55}"/>
    <cellStyle name="Normal 5 2 2 3 9" xfId="4790" xr:uid="{00000000-0005-0000-0000-0000E5170000}"/>
    <cellStyle name="Normal 5 2 2 3 9 2" xfId="14116" xr:uid="{D38C04A5-62B1-456B-B8A8-9F6F300CAAA8}"/>
    <cellStyle name="Normal 5 2 2 3 9 3" xfId="22563" xr:uid="{30DBCF03-A707-4D9F-9378-79150D1D026D}"/>
    <cellStyle name="Normal 5 2 2 4" xfId="421" xr:uid="{00000000-0005-0000-0000-0000E6170000}"/>
    <cellStyle name="Normal 5 2 2 4 10" xfId="9903" xr:uid="{CB5AE95E-6047-40B8-ABB6-77F63B321867}"/>
    <cellStyle name="Normal 5 2 2 4 11" xfId="18350" xr:uid="{1A89E674-07C4-4C11-9EF3-11CBB56DB244}"/>
    <cellStyle name="Normal 5 2 2 4 2" xfId="422" xr:uid="{00000000-0005-0000-0000-0000E7170000}"/>
    <cellStyle name="Normal 5 2 2 4 2 10" xfId="18351" xr:uid="{F077452B-1F8C-48AD-99A7-1262BB61C31E}"/>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4F21E796-F5C0-4D22-9298-BD5805C06A48}"/>
    <cellStyle name="Normal 5 2 2 4 2 2 2 2 3" xfId="25126" xr:uid="{E626F314-F341-4D41-8F81-82CE1DE74B30}"/>
    <cellStyle name="Normal 5 2 2 4 2 2 2 3" xfId="12462" xr:uid="{7CC4F27A-CFC5-47A4-BC7A-67ED5726BB0B}"/>
    <cellStyle name="Normal 5 2 2 4 2 2 2 4" xfId="20909" xr:uid="{09750036-8EA9-478D-90C7-DFC22E997A8E}"/>
    <cellStyle name="Normal 5 2 2 4 2 2 3" xfId="5208" xr:uid="{00000000-0005-0000-0000-0000EB170000}"/>
    <cellStyle name="Normal 5 2 2 4 2 2 3 2" xfId="14534" xr:uid="{8F3AE37D-246F-4B9A-B41D-0DF2FA313AF1}"/>
    <cellStyle name="Normal 5 2 2 4 2 2 3 3" xfId="22981" xr:uid="{710FEDA2-398F-4C84-859F-096AB850A137}"/>
    <cellStyle name="Normal 5 2 2 4 2 2 4" xfId="9488" xr:uid="{2997B11D-E810-48A4-BD3C-4498479B295E}"/>
    <cellStyle name="Normal 5 2 2 4 2 2 5" xfId="10317" xr:uid="{4455340D-38B5-4640-9FD8-AE56C3C77929}"/>
    <cellStyle name="Normal 5 2 2 4 2 2 6" xfId="18764" xr:uid="{B91854B2-41AA-4B7A-880F-55A812A88218}"/>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324ACA45-D1D2-44BF-9C63-C58708C91F23}"/>
    <cellStyle name="Normal 5 2 2 4 2 3 2 2 3" xfId="25539" xr:uid="{C75D4CC5-40D4-41B7-8F87-BCA112AC18BD}"/>
    <cellStyle name="Normal 5 2 2 4 2 3 2 3" xfId="12875" xr:uid="{7F64F4C5-77F0-4632-B194-A73317FFE192}"/>
    <cellStyle name="Normal 5 2 2 4 2 3 2 4" xfId="21322" xr:uid="{DBBAFF4A-0047-45F2-B722-38DEE05AA4E3}"/>
    <cellStyle name="Normal 5 2 2 4 2 3 3" xfId="5621" xr:uid="{00000000-0005-0000-0000-0000EF170000}"/>
    <cellStyle name="Normal 5 2 2 4 2 3 3 2" xfId="14947" xr:uid="{DDF94F4F-8481-4892-8EF6-53E549E4F604}"/>
    <cellStyle name="Normal 5 2 2 4 2 3 3 3" xfId="23394" xr:uid="{207760AC-9109-494A-9D86-B11989EA1518}"/>
    <cellStyle name="Normal 5 2 2 4 2 3 4" xfId="10730" xr:uid="{AA40A695-5793-44B0-ACED-3FB263F656E0}"/>
    <cellStyle name="Normal 5 2 2 4 2 3 5" xfId="19177" xr:uid="{42A164CE-01E5-44DA-A120-B81A787AA7B6}"/>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45AC75F7-97A9-4023-A86A-3647C9F2C0C2}"/>
    <cellStyle name="Normal 5 2 2 4 2 4 2 2 3" xfId="25952" xr:uid="{D3B3D7BB-A1D9-474E-B459-990A2D875E81}"/>
    <cellStyle name="Normal 5 2 2 4 2 4 2 3" xfId="13288" xr:uid="{043A3984-057D-4763-AF9E-638DE101E6D1}"/>
    <cellStyle name="Normal 5 2 2 4 2 4 2 4" xfId="21735" xr:uid="{3F4EA110-B040-4083-A314-099FB8D2B7E8}"/>
    <cellStyle name="Normal 5 2 2 4 2 4 3" xfId="6034" xr:uid="{00000000-0005-0000-0000-0000F3170000}"/>
    <cellStyle name="Normal 5 2 2 4 2 4 3 2" xfId="15360" xr:uid="{22A4698D-1D60-44C8-897C-1600E2B36EC0}"/>
    <cellStyle name="Normal 5 2 2 4 2 4 3 3" xfId="23807" xr:uid="{41BEFAB4-3A0F-417D-87B3-DD50D653C19F}"/>
    <cellStyle name="Normal 5 2 2 4 2 4 4" xfId="11143" xr:uid="{4ED0BA5B-CD87-4C9E-87FB-62FB6B28C051}"/>
    <cellStyle name="Normal 5 2 2 4 2 4 5" xfId="19590" xr:uid="{2F6E6243-E71A-4BF1-B254-E2719283670A}"/>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8E8AD473-3C9B-4EB7-8839-95D4CD1DA859}"/>
    <cellStyle name="Normal 5 2 2 4 2 5 2 2 3" xfId="26365" xr:uid="{A94E9448-3550-459C-AFAF-06879F1D042F}"/>
    <cellStyle name="Normal 5 2 2 4 2 5 2 3" xfId="13701" xr:uid="{67539E1D-1FFB-4AEF-90DD-4E400124FF16}"/>
    <cellStyle name="Normal 5 2 2 4 2 5 2 4" xfId="22148" xr:uid="{C43A848D-26F4-4D3A-94FB-9DBE2FE86DE8}"/>
    <cellStyle name="Normal 5 2 2 4 2 5 3" xfId="6447" xr:uid="{00000000-0005-0000-0000-0000F7170000}"/>
    <cellStyle name="Normal 5 2 2 4 2 5 3 2" xfId="15773" xr:uid="{F5C4C34D-1F04-4A9F-A043-ACBA8D54C871}"/>
    <cellStyle name="Normal 5 2 2 4 2 5 3 3" xfId="24220" xr:uid="{10F2B92B-BB4C-4092-853E-489C064F463A}"/>
    <cellStyle name="Normal 5 2 2 4 2 5 4" xfId="11556" xr:uid="{01FE0FD2-325C-41FC-A473-59BCD6F9928C}"/>
    <cellStyle name="Normal 5 2 2 4 2 5 5" xfId="20003" xr:uid="{A7034530-D772-4935-9176-0796D8BCA87C}"/>
    <cellStyle name="Normal 5 2 2 4 2 6" xfId="2577" xr:uid="{00000000-0005-0000-0000-0000F8170000}"/>
    <cellStyle name="Normal 5 2 2 4 2 6 2" xfId="6860" xr:uid="{00000000-0005-0000-0000-0000F9170000}"/>
    <cellStyle name="Normal 5 2 2 4 2 6 2 2" xfId="16186" xr:uid="{0F1E41C3-F064-47EA-979F-D6306E8FCC3C}"/>
    <cellStyle name="Normal 5 2 2 4 2 6 2 3" xfId="24633" xr:uid="{3CF7B21E-35DE-4535-8C47-3C85E1A8BBFF}"/>
    <cellStyle name="Normal 5 2 2 4 2 6 3" xfId="11969" xr:uid="{8D576F6F-B6D7-4411-949A-AD3EC13B6BA6}"/>
    <cellStyle name="Normal 5 2 2 4 2 6 4" xfId="20416" xr:uid="{61C5F827-D81B-445D-986D-3C9F3EE527AC}"/>
    <cellStyle name="Normal 5 2 2 4 2 7" xfId="4795" xr:uid="{00000000-0005-0000-0000-0000FA170000}"/>
    <cellStyle name="Normal 5 2 2 4 2 7 2" xfId="14121" xr:uid="{C67BB399-1AD2-4EF0-ACCA-A5E00853D5D2}"/>
    <cellStyle name="Normal 5 2 2 4 2 7 3" xfId="22568" xr:uid="{F6F5CDE5-D03B-4B52-AC25-465AAC29E581}"/>
    <cellStyle name="Normal 5 2 2 4 2 8" xfId="9063" xr:uid="{3B1AA107-8D7F-4938-A60C-EED41E9B9A2A}"/>
    <cellStyle name="Normal 5 2 2 4 2 9" xfId="9904" xr:uid="{B9A45E71-2213-4E01-9D4A-9E8E42E95AC0}"/>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F6DDEB50-092B-4A2E-97F6-36522937645D}"/>
    <cellStyle name="Normal 5 2 2 4 3 2 2 3" xfId="25125" xr:uid="{B4318B85-A701-4969-A7D4-576E19F826D8}"/>
    <cellStyle name="Normal 5 2 2 4 3 2 3" xfId="12461" xr:uid="{0873838E-39E9-4886-AE06-A95C6C5F5379}"/>
    <cellStyle name="Normal 5 2 2 4 3 2 4" xfId="20908" xr:uid="{2E35D193-E3AF-4EAE-87B5-FFB8A0970B95}"/>
    <cellStyle name="Normal 5 2 2 4 3 3" xfId="5207" xr:uid="{00000000-0005-0000-0000-0000FE170000}"/>
    <cellStyle name="Normal 5 2 2 4 3 3 2" xfId="14533" xr:uid="{993F7972-1594-4FAB-9BE4-5C8B465F2E91}"/>
    <cellStyle name="Normal 5 2 2 4 3 3 3" xfId="22980" xr:uid="{3AF6C662-78C3-4B12-87B3-3997F5E6B12C}"/>
    <cellStyle name="Normal 5 2 2 4 3 4" xfId="9281" xr:uid="{9304050F-95A7-4BE3-AD21-FEBB7D0875B2}"/>
    <cellStyle name="Normal 5 2 2 4 3 5" xfId="10316" xr:uid="{6F320C02-6B10-410D-BA75-8F1C53EA34E9}"/>
    <cellStyle name="Normal 5 2 2 4 3 6" xfId="18763" xr:uid="{DE3D3785-FA30-4FD2-A12E-D13A01F2116B}"/>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CF94AF72-1C1C-41D3-A2F8-C7318C635C2A}"/>
    <cellStyle name="Normal 5 2 2 4 4 2 2 3" xfId="25538" xr:uid="{334187E4-144F-4DD7-A35D-46A4A82C20E4}"/>
    <cellStyle name="Normal 5 2 2 4 4 2 3" xfId="12874" xr:uid="{E67ECB5A-6AC7-4B23-9549-E22040907851}"/>
    <cellStyle name="Normal 5 2 2 4 4 2 4" xfId="21321" xr:uid="{C96C34F7-9DD0-4908-892A-78D8C1D72B61}"/>
    <cellStyle name="Normal 5 2 2 4 4 3" xfId="5620" xr:uid="{00000000-0005-0000-0000-000002180000}"/>
    <cellStyle name="Normal 5 2 2 4 4 3 2" xfId="14946" xr:uid="{219D273A-77FB-4522-BF15-798C1044C744}"/>
    <cellStyle name="Normal 5 2 2 4 4 3 3" xfId="23393" xr:uid="{C7A565DB-CE0B-4ED9-9968-78D8B9364A5C}"/>
    <cellStyle name="Normal 5 2 2 4 4 4" xfId="10729" xr:uid="{01B46363-CD4E-4AA2-86D7-3344656B8FF8}"/>
    <cellStyle name="Normal 5 2 2 4 4 5" xfId="19176" xr:uid="{86D9F221-6410-41D7-AC3E-775EE9B2CC21}"/>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5396338B-1DDE-4D4F-A7F6-B5AB28D4DD5A}"/>
    <cellStyle name="Normal 5 2 2 4 5 2 2 3" xfId="25951" xr:uid="{49DB17FC-8A86-4CE3-81AC-2AC7E1D9E7CD}"/>
    <cellStyle name="Normal 5 2 2 4 5 2 3" xfId="13287" xr:uid="{F40F2C05-43EB-4AC1-9DAA-6AB33D651383}"/>
    <cellStyle name="Normal 5 2 2 4 5 2 4" xfId="21734" xr:uid="{9CA44FB1-A6FF-4E39-B26F-96E24A87BB66}"/>
    <cellStyle name="Normal 5 2 2 4 5 3" xfId="6033" xr:uid="{00000000-0005-0000-0000-000006180000}"/>
    <cellStyle name="Normal 5 2 2 4 5 3 2" xfId="15359" xr:uid="{BE38D207-2F46-4E1F-82A4-74D62C92825A}"/>
    <cellStyle name="Normal 5 2 2 4 5 3 3" xfId="23806" xr:uid="{9FB173AD-16E8-422B-9400-83C26AF23A7C}"/>
    <cellStyle name="Normal 5 2 2 4 5 4" xfId="11142" xr:uid="{6677376A-AEDC-4182-974B-69D9BB66706A}"/>
    <cellStyle name="Normal 5 2 2 4 5 5" xfId="19589" xr:uid="{516839D6-3B57-420B-B411-DE05FB894288}"/>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D343A727-37B4-4FA6-B1D3-75C545513643}"/>
    <cellStyle name="Normal 5 2 2 4 6 2 2 3" xfId="26364" xr:uid="{D3CFC71B-C00A-4BB0-9BC9-B75A6381F81B}"/>
    <cellStyle name="Normal 5 2 2 4 6 2 3" xfId="13700" xr:uid="{67585ACA-C75D-464A-A60A-A12D74B72BC0}"/>
    <cellStyle name="Normal 5 2 2 4 6 2 4" xfId="22147" xr:uid="{7AD82347-0105-44D1-B4C5-F023C317023B}"/>
    <cellStyle name="Normal 5 2 2 4 6 3" xfId="6446" xr:uid="{00000000-0005-0000-0000-00000A180000}"/>
    <cellStyle name="Normal 5 2 2 4 6 3 2" xfId="15772" xr:uid="{77BC9387-2F72-4123-9B70-778B81543F3F}"/>
    <cellStyle name="Normal 5 2 2 4 6 3 3" xfId="24219" xr:uid="{5BCE0975-CEE7-4FBD-BD4B-452D1B9472FC}"/>
    <cellStyle name="Normal 5 2 2 4 6 4" xfId="11555" xr:uid="{5265B781-7546-47E6-A020-296A471BF2B2}"/>
    <cellStyle name="Normal 5 2 2 4 6 5" xfId="20002" xr:uid="{0A2C741D-73D9-47B8-83DB-203D61FE011A}"/>
    <cellStyle name="Normal 5 2 2 4 7" xfId="2576" xr:uid="{00000000-0005-0000-0000-00000B180000}"/>
    <cellStyle name="Normal 5 2 2 4 7 2" xfId="6859" xr:uid="{00000000-0005-0000-0000-00000C180000}"/>
    <cellStyle name="Normal 5 2 2 4 7 2 2" xfId="16185" xr:uid="{E7CBE8B4-A04B-43DA-88DD-1F4732B96E1A}"/>
    <cellStyle name="Normal 5 2 2 4 7 2 3" xfId="24632" xr:uid="{F759924F-14E8-4DB4-80A9-AB59C3B10F43}"/>
    <cellStyle name="Normal 5 2 2 4 7 3" xfId="11968" xr:uid="{AFFBAF0A-55EA-4785-95D8-07EA493CBC0E}"/>
    <cellStyle name="Normal 5 2 2 4 7 4" xfId="20415" xr:uid="{DB906822-C098-49A3-AD7F-72CCDF448DCC}"/>
    <cellStyle name="Normal 5 2 2 4 8" xfId="4794" xr:uid="{00000000-0005-0000-0000-00000D180000}"/>
    <cellStyle name="Normal 5 2 2 4 8 2" xfId="14120" xr:uid="{1E8C4954-3A4F-4CFA-ADDD-547590BF9C04}"/>
    <cellStyle name="Normal 5 2 2 4 8 3" xfId="22567" xr:uid="{604C656E-D7B6-4CFE-80C9-97B199E863A7}"/>
    <cellStyle name="Normal 5 2 2 4 9" xfId="8856" xr:uid="{8A537EF5-BE1D-4B82-9546-B2DC1F74308F}"/>
    <cellStyle name="Normal 5 2 2 5" xfId="423" xr:uid="{00000000-0005-0000-0000-00000E180000}"/>
    <cellStyle name="Normal 5 2 2 5 10" xfId="18352" xr:uid="{47D06274-E9BD-4DE8-8FB1-6AEC09DA10BC}"/>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FD331FD0-157C-4445-BC91-B1647EC43633}"/>
    <cellStyle name="Normal 5 2 2 5 2 2 2 3" xfId="25127" xr:uid="{44AE8FE1-2418-4211-A074-D60AAF09EDF9}"/>
    <cellStyle name="Normal 5 2 2 5 2 2 3" xfId="12463" xr:uid="{9CD21C78-98F5-4B0F-8A81-0CC957EAEFC9}"/>
    <cellStyle name="Normal 5 2 2 5 2 2 4" xfId="20910" xr:uid="{BF2A9918-1E41-41D7-84DD-3AC632679DC5}"/>
    <cellStyle name="Normal 5 2 2 5 2 3" xfId="5209" xr:uid="{00000000-0005-0000-0000-000012180000}"/>
    <cellStyle name="Normal 5 2 2 5 2 3 2" xfId="14535" xr:uid="{F7AE287A-1080-4684-A8FB-F5F2C79268B5}"/>
    <cellStyle name="Normal 5 2 2 5 2 3 3" xfId="22982" xr:uid="{166474C9-5AC6-4642-8FFD-577D00F58178}"/>
    <cellStyle name="Normal 5 2 2 5 2 4" xfId="9397" xr:uid="{3CB0B9A4-F907-4F52-ACFC-7970F7AF9B13}"/>
    <cellStyle name="Normal 5 2 2 5 2 5" xfId="10318" xr:uid="{C961625B-9765-4F87-9818-C3753DEFAE75}"/>
    <cellStyle name="Normal 5 2 2 5 2 6" xfId="18765" xr:uid="{A8B253A6-7997-408E-A501-160A57D4E3D6}"/>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D6701197-3456-45B7-9A1D-1ACBFFC61FE7}"/>
    <cellStyle name="Normal 5 2 2 5 3 2 2 3" xfId="25540" xr:uid="{053BBF2E-10BB-42DC-8B1A-48B6BDEDBE65}"/>
    <cellStyle name="Normal 5 2 2 5 3 2 3" xfId="12876" xr:uid="{BC99A923-B138-4D3D-B62D-AC656AABBB3E}"/>
    <cellStyle name="Normal 5 2 2 5 3 2 4" xfId="21323" xr:uid="{A1DE0A17-4C0B-4039-9201-3E02C9AFC83F}"/>
    <cellStyle name="Normal 5 2 2 5 3 3" xfId="5622" xr:uid="{00000000-0005-0000-0000-000016180000}"/>
    <cellStyle name="Normal 5 2 2 5 3 3 2" xfId="14948" xr:uid="{0072DB8E-88AF-47C1-9D8E-496F575E5E05}"/>
    <cellStyle name="Normal 5 2 2 5 3 3 3" xfId="23395" xr:uid="{4757F86B-3249-4F8C-BC54-AB73C267E612}"/>
    <cellStyle name="Normal 5 2 2 5 3 4" xfId="10731" xr:uid="{1CD8E977-8D58-455F-99EA-B64D9038FF4B}"/>
    <cellStyle name="Normal 5 2 2 5 3 5" xfId="19178" xr:uid="{B2E77933-7B05-4C8A-B0BB-B9897170B38D}"/>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BCAA05CE-D6C4-413F-BD74-E6FF587834E2}"/>
    <cellStyle name="Normal 5 2 2 5 4 2 2 3" xfId="25953" xr:uid="{428EF580-2628-4CAC-A8A2-01D29B7A127B}"/>
    <cellStyle name="Normal 5 2 2 5 4 2 3" xfId="13289" xr:uid="{121F6F47-EAEC-4311-8C09-2D32A7FC7B8E}"/>
    <cellStyle name="Normal 5 2 2 5 4 2 4" xfId="21736" xr:uid="{BBCE5196-FF95-47F2-92BE-1A8B2B3F9915}"/>
    <cellStyle name="Normal 5 2 2 5 4 3" xfId="6035" xr:uid="{00000000-0005-0000-0000-00001A180000}"/>
    <cellStyle name="Normal 5 2 2 5 4 3 2" xfId="15361" xr:uid="{7C596009-76A0-41A8-B983-D7B47A7C5020}"/>
    <cellStyle name="Normal 5 2 2 5 4 3 3" xfId="23808" xr:uid="{97F98DC6-EA95-4A95-9D30-2427DA0140CA}"/>
    <cellStyle name="Normal 5 2 2 5 4 4" xfId="11144" xr:uid="{32858F02-6893-42E6-A275-5BB84FAE4926}"/>
    <cellStyle name="Normal 5 2 2 5 4 5" xfId="19591" xr:uid="{05DC9175-422C-4101-967D-52D16B6F1D8E}"/>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901EEBAB-9315-4819-A1C1-025B1212F894}"/>
    <cellStyle name="Normal 5 2 2 5 5 2 2 3" xfId="26366" xr:uid="{46E61F6B-E1FB-42E9-9131-2C387C7B0841}"/>
    <cellStyle name="Normal 5 2 2 5 5 2 3" xfId="13702" xr:uid="{8223D9EC-752E-4592-B5EE-8800D6EAB0E1}"/>
    <cellStyle name="Normal 5 2 2 5 5 2 4" xfId="22149" xr:uid="{F522FEDA-AFDA-4F67-AA7E-295B1B2B1CAD}"/>
    <cellStyle name="Normal 5 2 2 5 5 3" xfId="6448" xr:uid="{00000000-0005-0000-0000-00001E180000}"/>
    <cellStyle name="Normal 5 2 2 5 5 3 2" xfId="15774" xr:uid="{B1203273-AAE3-40AE-A0D8-8ADAE76AE700}"/>
    <cellStyle name="Normal 5 2 2 5 5 3 3" xfId="24221" xr:uid="{C47A37B1-8C73-463E-9B02-A37E43E41B91}"/>
    <cellStyle name="Normal 5 2 2 5 5 4" xfId="11557" xr:uid="{3F99C791-20D0-4D7C-83A4-BBB934A71F43}"/>
    <cellStyle name="Normal 5 2 2 5 5 5" xfId="20004" xr:uid="{DA61D12F-7816-417E-8054-CDB0F7C42266}"/>
    <cellStyle name="Normal 5 2 2 5 6" xfId="2578" xr:uid="{00000000-0005-0000-0000-00001F180000}"/>
    <cellStyle name="Normal 5 2 2 5 6 2" xfId="6861" xr:uid="{00000000-0005-0000-0000-000020180000}"/>
    <cellStyle name="Normal 5 2 2 5 6 2 2" xfId="16187" xr:uid="{87819187-648D-4CCA-9036-E88029C51B6E}"/>
    <cellStyle name="Normal 5 2 2 5 6 2 3" xfId="24634" xr:uid="{66FFEB44-6F45-47EA-8890-6411B1E3AF9B}"/>
    <cellStyle name="Normal 5 2 2 5 6 3" xfId="11970" xr:uid="{E293BB73-9969-4698-A48B-9C96D0ECA1B5}"/>
    <cellStyle name="Normal 5 2 2 5 6 4" xfId="20417" xr:uid="{A1ACB48D-A241-4A21-8475-4CCC1E471386}"/>
    <cellStyle name="Normal 5 2 2 5 7" xfId="4796" xr:uid="{00000000-0005-0000-0000-000021180000}"/>
    <cellStyle name="Normal 5 2 2 5 7 2" xfId="14122" xr:uid="{54EA3605-539F-4525-A533-67D4988F3F8B}"/>
    <cellStyle name="Normal 5 2 2 5 7 3" xfId="22569" xr:uid="{3724666F-16CA-48A8-9DF4-8E468F45BEAB}"/>
    <cellStyle name="Normal 5 2 2 5 8" xfId="8972" xr:uid="{3CCC8856-6464-4309-A4F9-43F74A48C503}"/>
    <cellStyle name="Normal 5 2 2 5 9" xfId="9905" xr:uid="{35C63617-7F58-4557-AB54-DADA84D30FF1}"/>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4C65C5EF-A58C-435B-9B5E-058650256212}"/>
    <cellStyle name="Normal 5 2 2 6 2 2 3" xfId="25112" xr:uid="{AE91F10D-9F99-436C-AA09-3C1241C355F5}"/>
    <cellStyle name="Normal 5 2 2 6 2 3" xfId="12448" xr:uid="{26EB328B-23EF-496F-8D7D-42B9781EBC0D}"/>
    <cellStyle name="Normal 5 2 2 6 2 4" xfId="20895" xr:uid="{F1FF2377-E096-414A-A99B-CD73B9B994F8}"/>
    <cellStyle name="Normal 5 2 2 6 3" xfId="5194" xr:uid="{00000000-0005-0000-0000-000025180000}"/>
    <cellStyle name="Normal 5 2 2 6 3 2" xfId="14520" xr:uid="{54C459BF-5F62-4F56-ADF1-550619B0BE92}"/>
    <cellStyle name="Normal 5 2 2 6 3 3" xfId="22967" xr:uid="{584F3F17-06B0-4D76-A789-7DB701EEA2EE}"/>
    <cellStyle name="Normal 5 2 2 6 4" xfId="9175" xr:uid="{A0BC076A-DB75-4963-A17E-57836FA6391D}"/>
    <cellStyle name="Normal 5 2 2 6 5" xfId="10303" xr:uid="{5BDE0AD7-A064-4616-A216-82EC956AA7EE}"/>
    <cellStyle name="Normal 5 2 2 6 6" xfId="18750" xr:uid="{178A342E-BCA7-4081-811E-DFEAFCBB3F37}"/>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134E45CE-00F4-432A-801E-DC73A0D2883E}"/>
    <cellStyle name="Normal 5 2 2 7 2 2 3" xfId="25525" xr:uid="{85347CB7-F0A6-4113-9B8C-3C3D7D42F1C4}"/>
    <cellStyle name="Normal 5 2 2 7 2 3" xfId="12861" xr:uid="{44800EF7-18DF-4EAE-9D38-9C02734C7A40}"/>
    <cellStyle name="Normal 5 2 2 7 2 4" xfId="21308" xr:uid="{ED5EE320-8B59-4552-94A2-9A2DA4423698}"/>
    <cellStyle name="Normal 5 2 2 7 3" xfId="5607" xr:uid="{00000000-0005-0000-0000-000029180000}"/>
    <cellStyle name="Normal 5 2 2 7 3 2" xfId="14933" xr:uid="{2BB3B32A-721D-4A2B-AC0A-E8B40D982FAE}"/>
    <cellStyle name="Normal 5 2 2 7 3 3" xfId="23380" xr:uid="{D0D82276-0773-4B42-9195-FF0784503E86}"/>
    <cellStyle name="Normal 5 2 2 7 4" xfId="10716" xr:uid="{A5E6B98E-09F9-458C-963D-74B572FE3FE3}"/>
    <cellStyle name="Normal 5 2 2 7 5" xfId="19163" xr:uid="{EC2B0084-ADAF-42AB-B9DA-7DD4BE782A90}"/>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8D32A65A-FC20-4AFA-8C55-A2E3A3334517}"/>
    <cellStyle name="Normal 5 2 2 8 2 2 3" xfId="25938" xr:uid="{1B286C6B-EBE9-4D2B-995B-E9B83AB103F1}"/>
    <cellStyle name="Normal 5 2 2 8 2 3" xfId="13274" xr:uid="{0DB5DDC0-30E6-4FDE-AFE1-15BF51E7062F}"/>
    <cellStyle name="Normal 5 2 2 8 2 4" xfId="21721" xr:uid="{7A1CA729-9147-4296-8CFB-E1F44858966F}"/>
    <cellStyle name="Normal 5 2 2 8 3" xfId="6020" xr:uid="{00000000-0005-0000-0000-00002D180000}"/>
    <cellStyle name="Normal 5 2 2 8 3 2" xfId="15346" xr:uid="{D9821CFE-9168-4F1E-97A2-E3862F164B4B}"/>
    <cellStyle name="Normal 5 2 2 8 3 3" xfId="23793" xr:uid="{C88830BE-1805-4071-A48C-94461AB4F514}"/>
    <cellStyle name="Normal 5 2 2 8 4" xfId="11129" xr:uid="{BD9B5199-A9E3-4B98-AEDA-4C58C7AFFB14}"/>
    <cellStyle name="Normal 5 2 2 8 5" xfId="19576" xr:uid="{FF7213C9-77E0-4E47-B4A7-C9DC2467CFDB}"/>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F1F16735-2027-441E-898D-C6B0BFD58546}"/>
    <cellStyle name="Normal 5 2 2 9 2 2 3" xfId="26351" xr:uid="{413400D9-8E3A-4C89-A5A0-1F3D3987CE76}"/>
    <cellStyle name="Normal 5 2 2 9 2 3" xfId="13687" xr:uid="{4C400CAC-0D7E-4F7A-9ACF-9502E080C6D6}"/>
    <cellStyle name="Normal 5 2 2 9 2 4" xfId="22134" xr:uid="{9EB84E99-85CF-4DD3-ABA1-511FDA36C34C}"/>
    <cellStyle name="Normal 5 2 2 9 3" xfId="6433" xr:uid="{00000000-0005-0000-0000-000031180000}"/>
    <cellStyle name="Normal 5 2 2 9 3 2" xfId="15759" xr:uid="{DDBC7DA2-5929-4C8B-B5C7-011157A5D130}"/>
    <cellStyle name="Normal 5 2 2 9 3 3" xfId="24206" xr:uid="{E288579F-B9E4-48B0-8C04-A3BD8195733A}"/>
    <cellStyle name="Normal 5 2 2 9 4" xfId="11542" xr:uid="{147207A8-1EC0-4FB0-9F6D-8C94C55DD410}"/>
    <cellStyle name="Normal 5 2 2 9 5" xfId="19989" xr:uid="{6EF674EC-C897-4536-A8BC-5C73471EAEB0}"/>
    <cellStyle name="Normal 5 2 3" xfId="424" xr:uid="{00000000-0005-0000-0000-000032180000}"/>
    <cellStyle name="Normal 5 2 3 10" xfId="4797" xr:uid="{00000000-0005-0000-0000-000033180000}"/>
    <cellStyle name="Normal 5 2 3 10 2" xfId="14123" xr:uid="{07CC330B-D53A-415B-BB9C-F70BD6AE9587}"/>
    <cellStyle name="Normal 5 2 3 10 3" xfId="22570" xr:uid="{333344F4-67FF-451D-B135-309C72528557}"/>
    <cellStyle name="Normal 5 2 3 11" xfId="8776" xr:uid="{883173D2-CE3E-48F3-8E13-32EAEF7B08C3}"/>
    <cellStyle name="Normal 5 2 3 12" xfId="9906" xr:uid="{0FC611A6-6EE8-420C-8433-C1D7EB8EFE12}"/>
    <cellStyle name="Normal 5 2 3 13" xfId="18353" xr:uid="{60D71990-28C4-479A-9362-DCB8BEA69821}"/>
    <cellStyle name="Normal 5 2 3 2" xfId="425" xr:uid="{00000000-0005-0000-0000-000034180000}"/>
    <cellStyle name="Normal 5 2 3 2 10" xfId="8830" xr:uid="{287E15F2-6F23-4B3E-B8AA-9DE92D950FBA}"/>
    <cellStyle name="Normal 5 2 3 2 11" xfId="9907" xr:uid="{4CE574B7-0766-4AD4-949C-C6A92AD9097A}"/>
    <cellStyle name="Normal 5 2 3 2 12" xfId="18354" xr:uid="{E6543FFE-EA1E-4461-8903-B6B39D811634}"/>
    <cellStyle name="Normal 5 2 3 2 2" xfId="426" xr:uid="{00000000-0005-0000-0000-000035180000}"/>
    <cellStyle name="Normal 5 2 3 2 2 10" xfId="9908" xr:uid="{16410096-C218-4889-9B9F-616D86625403}"/>
    <cellStyle name="Normal 5 2 3 2 2 11" xfId="18355" xr:uid="{99C8809F-540A-4268-BF7C-DE555695593A}"/>
    <cellStyle name="Normal 5 2 3 2 2 2" xfId="427" xr:uid="{00000000-0005-0000-0000-000036180000}"/>
    <cellStyle name="Normal 5 2 3 2 2 2 10" xfId="18356" xr:uid="{12590EDE-5B89-4BF3-97A2-A759CDCDF6A7}"/>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4CA716CD-A22F-4C6C-81E0-6A5FB43B0782}"/>
    <cellStyle name="Normal 5 2 3 2 2 2 2 2 2 3" xfId="25131" xr:uid="{827300D2-AF1A-443C-BC14-E194CB43EDC9}"/>
    <cellStyle name="Normal 5 2 3 2 2 2 2 2 3" xfId="12467" xr:uid="{733C46F5-C372-4D90-AB2D-7667522EE8FE}"/>
    <cellStyle name="Normal 5 2 3 2 2 2 2 2 4" xfId="20914" xr:uid="{6A59D06A-DBCB-4ED6-9107-FA0063EF52C7}"/>
    <cellStyle name="Normal 5 2 3 2 2 2 2 3" xfId="5213" xr:uid="{00000000-0005-0000-0000-00003A180000}"/>
    <cellStyle name="Normal 5 2 3 2 2 2 2 3 2" xfId="14539" xr:uid="{A3EAF0FA-4788-4BEB-AE48-9A0205BA9E0A}"/>
    <cellStyle name="Normal 5 2 3 2 2 2 2 3 3" xfId="22986" xr:uid="{D6BB3F04-664A-4386-B5A0-A0C1AF68D42D}"/>
    <cellStyle name="Normal 5 2 3 2 2 2 2 4" xfId="9565" xr:uid="{B33C5ECB-02D9-4BAF-B467-F38E8EEB7F6E}"/>
    <cellStyle name="Normal 5 2 3 2 2 2 2 5" xfId="10322" xr:uid="{81A80943-EA60-4973-8F79-84E57E5F08AD}"/>
    <cellStyle name="Normal 5 2 3 2 2 2 2 6" xfId="18769" xr:uid="{9C057A97-41E0-43BD-A22B-60DB25617CE1}"/>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5E9B6CB9-4E58-460E-9DD8-99FF2E4B3C77}"/>
    <cellStyle name="Normal 5 2 3 2 2 2 3 2 2 3" xfId="25544" xr:uid="{78B7071C-635B-4AF6-9625-8842A9E0E6E5}"/>
    <cellStyle name="Normal 5 2 3 2 2 2 3 2 3" xfId="12880" xr:uid="{7196590C-2027-4F58-8E29-8DB6821D9617}"/>
    <cellStyle name="Normal 5 2 3 2 2 2 3 2 4" xfId="21327" xr:uid="{CC35FD8D-999A-4665-9270-655FC8007821}"/>
    <cellStyle name="Normal 5 2 3 2 2 2 3 3" xfId="5626" xr:uid="{00000000-0005-0000-0000-00003E180000}"/>
    <cellStyle name="Normal 5 2 3 2 2 2 3 3 2" xfId="14952" xr:uid="{E7515BD4-0349-4C22-9A37-19C2CDA4EC80}"/>
    <cellStyle name="Normal 5 2 3 2 2 2 3 3 3" xfId="23399" xr:uid="{2A8A2586-EB42-4268-89C4-89A8C202BB74}"/>
    <cellStyle name="Normal 5 2 3 2 2 2 3 4" xfId="10735" xr:uid="{657AFB64-F72D-43F9-AD71-11C0EE83D2E6}"/>
    <cellStyle name="Normal 5 2 3 2 2 2 3 5" xfId="19182" xr:uid="{09D17AE7-9821-4834-AC62-753A37BB9E0E}"/>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90274525-387A-4450-AA7C-1452DF14BBCA}"/>
    <cellStyle name="Normal 5 2 3 2 2 2 4 2 2 3" xfId="25957" xr:uid="{D4BF14F5-6BDE-4621-8F3F-ECFDFEE5A3A5}"/>
    <cellStyle name="Normal 5 2 3 2 2 2 4 2 3" xfId="13293" xr:uid="{DB84EFDF-AE05-41A4-8987-BBD63F30E5CB}"/>
    <cellStyle name="Normal 5 2 3 2 2 2 4 2 4" xfId="21740" xr:uid="{6EC691BD-250F-436D-B846-7D7270BC94AE}"/>
    <cellStyle name="Normal 5 2 3 2 2 2 4 3" xfId="6039" xr:uid="{00000000-0005-0000-0000-000042180000}"/>
    <cellStyle name="Normal 5 2 3 2 2 2 4 3 2" xfId="15365" xr:uid="{954587C3-2AA2-4A53-8F1C-D3F8FB72EEEA}"/>
    <cellStyle name="Normal 5 2 3 2 2 2 4 3 3" xfId="23812" xr:uid="{70E71BED-5C48-43B3-AE7B-5E9352F83DDC}"/>
    <cellStyle name="Normal 5 2 3 2 2 2 4 4" xfId="11148" xr:uid="{71595D8D-9BFB-40FA-B3F4-E47983C493BA}"/>
    <cellStyle name="Normal 5 2 3 2 2 2 4 5" xfId="19595" xr:uid="{6B6AC2ED-497F-4127-9C87-2D22247E9F04}"/>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03513F18-4373-4607-A507-B7E87D0E5489}"/>
    <cellStyle name="Normal 5 2 3 2 2 2 5 2 2 3" xfId="26370" xr:uid="{6FB6B565-B3B6-4B30-86BA-CBC0777EE8CB}"/>
    <cellStyle name="Normal 5 2 3 2 2 2 5 2 3" xfId="13706" xr:uid="{8F33B9DD-BA02-4F39-9E83-9967F44B8E76}"/>
    <cellStyle name="Normal 5 2 3 2 2 2 5 2 4" xfId="22153" xr:uid="{E0285503-7699-4261-883D-B5F8D85AF294}"/>
    <cellStyle name="Normal 5 2 3 2 2 2 5 3" xfId="6452" xr:uid="{00000000-0005-0000-0000-000046180000}"/>
    <cellStyle name="Normal 5 2 3 2 2 2 5 3 2" xfId="15778" xr:uid="{41B0ECBF-80F7-46BD-9E10-981E89B700AD}"/>
    <cellStyle name="Normal 5 2 3 2 2 2 5 3 3" xfId="24225" xr:uid="{370C9CC4-7C0C-4719-A8C8-B74EB62D6AA5}"/>
    <cellStyle name="Normal 5 2 3 2 2 2 5 4" xfId="11561" xr:uid="{1FF451A0-515B-490C-BBAB-BEA87F3C7A1C}"/>
    <cellStyle name="Normal 5 2 3 2 2 2 5 5" xfId="20008" xr:uid="{D67CD5AC-BF40-4965-A751-164179C859F6}"/>
    <cellStyle name="Normal 5 2 3 2 2 2 6" xfId="2582" xr:uid="{00000000-0005-0000-0000-000047180000}"/>
    <cellStyle name="Normal 5 2 3 2 2 2 6 2" xfId="6865" xr:uid="{00000000-0005-0000-0000-000048180000}"/>
    <cellStyle name="Normal 5 2 3 2 2 2 6 2 2" xfId="16191" xr:uid="{C2554289-34DE-423D-A57A-84C78386A44E}"/>
    <cellStyle name="Normal 5 2 3 2 2 2 6 2 3" xfId="24638" xr:uid="{6B019055-D61C-4885-AC1B-40F8B4869129}"/>
    <cellStyle name="Normal 5 2 3 2 2 2 6 3" xfId="11974" xr:uid="{91B522FC-5E17-426D-B9DB-DDE7C4ADE17E}"/>
    <cellStyle name="Normal 5 2 3 2 2 2 6 4" xfId="20421" xr:uid="{B3C7AC1B-4E20-45FE-9888-B1DAFF309398}"/>
    <cellStyle name="Normal 5 2 3 2 2 2 7" xfId="4800" xr:uid="{00000000-0005-0000-0000-000049180000}"/>
    <cellStyle name="Normal 5 2 3 2 2 2 7 2" xfId="14126" xr:uid="{B3CC5407-2BF9-475E-94E6-7E582B6061A8}"/>
    <cellStyle name="Normal 5 2 3 2 2 2 7 3" xfId="22573" xr:uid="{48A1DA48-A358-465A-8E37-16FFBE4725ED}"/>
    <cellStyle name="Normal 5 2 3 2 2 2 8" xfId="9140" xr:uid="{175A16DB-BA54-4083-AB68-1FA46DB27A86}"/>
    <cellStyle name="Normal 5 2 3 2 2 2 9" xfId="9909" xr:uid="{F83DC6EE-C338-48F4-B5B1-E8004D1B8FA5}"/>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C7724117-A8D9-4670-929F-08E26C9AF0CF}"/>
    <cellStyle name="Normal 5 2 3 2 2 3 2 2 3" xfId="25130" xr:uid="{411634FC-2FD1-4393-93FE-A481E53D803E}"/>
    <cellStyle name="Normal 5 2 3 2 2 3 2 3" xfId="12466" xr:uid="{4F2069A4-EE5A-46E8-9686-982DF106715C}"/>
    <cellStyle name="Normal 5 2 3 2 2 3 2 4" xfId="20913" xr:uid="{75996A19-98F4-41F4-AB71-C44CEA99F43E}"/>
    <cellStyle name="Normal 5 2 3 2 2 3 3" xfId="5212" xr:uid="{00000000-0005-0000-0000-00004D180000}"/>
    <cellStyle name="Normal 5 2 3 2 2 3 3 2" xfId="14538" xr:uid="{21ECDF65-F6C8-4179-95B3-B501D6C20A2D}"/>
    <cellStyle name="Normal 5 2 3 2 2 3 3 3" xfId="22985" xr:uid="{1844DD3C-5A35-4597-A299-CFB6A7AC96EF}"/>
    <cellStyle name="Normal 5 2 3 2 2 3 4" xfId="9358" xr:uid="{5B196E7D-8DD9-4C59-A83C-7626B0E60040}"/>
    <cellStyle name="Normal 5 2 3 2 2 3 5" xfId="10321" xr:uid="{D2168A43-91D2-4046-9D9E-043D957BEEA8}"/>
    <cellStyle name="Normal 5 2 3 2 2 3 6" xfId="18768" xr:uid="{65CC5331-2C72-4B92-9DD8-1FFC42B2B76F}"/>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997457BF-CDCB-444B-8196-F6D8F2F4C3F7}"/>
    <cellStyle name="Normal 5 2 3 2 2 4 2 2 3" xfId="25543" xr:uid="{027CF64E-1B7A-4859-9E69-0E0A4EA90EDE}"/>
    <cellStyle name="Normal 5 2 3 2 2 4 2 3" xfId="12879" xr:uid="{2B6F8C9E-2432-4C0D-8CDF-3781A6609013}"/>
    <cellStyle name="Normal 5 2 3 2 2 4 2 4" xfId="21326" xr:uid="{60B1C4F3-CADA-48A9-B481-CC2458BE14CB}"/>
    <cellStyle name="Normal 5 2 3 2 2 4 3" xfId="5625" xr:uid="{00000000-0005-0000-0000-000051180000}"/>
    <cellStyle name="Normal 5 2 3 2 2 4 3 2" xfId="14951" xr:uid="{9411F8E3-51B8-4846-A9BE-648C06FCD26F}"/>
    <cellStyle name="Normal 5 2 3 2 2 4 3 3" xfId="23398" xr:uid="{6242F6EA-E402-4CC8-84AD-E9B4E58D5543}"/>
    <cellStyle name="Normal 5 2 3 2 2 4 4" xfId="10734" xr:uid="{6A23F6AE-49EB-4B92-A2BC-B630EB07CA0F}"/>
    <cellStyle name="Normal 5 2 3 2 2 4 5" xfId="19181" xr:uid="{5EEA9B99-5A9E-4277-B87E-3CF4B6DABD6B}"/>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C7EC4C7E-0391-44E3-BBF2-5DE48A16A221}"/>
    <cellStyle name="Normal 5 2 3 2 2 5 2 2 3" xfId="25956" xr:uid="{55E94FB8-E4C0-404E-9ED8-AF2FCCE2FCF3}"/>
    <cellStyle name="Normal 5 2 3 2 2 5 2 3" xfId="13292" xr:uid="{7113F088-8EAA-4F16-81AD-A4416CDF6F40}"/>
    <cellStyle name="Normal 5 2 3 2 2 5 2 4" xfId="21739" xr:uid="{61B037C6-6B4E-4FBE-8CA8-A82A54ED63A8}"/>
    <cellStyle name="Normal 5 2 3 2 2 5 3" xfId="6038" xr:uid="{00000000-0005-0000-0000-000055180000}"/>
    <cellStyle name="Normal 5 2 3 2 2 5 3 2" xfId="15364" xr:uid="{3D8B111A-AA22-4567-A7E4-E3894379205F}"/>
    <cellStyle name="Normal 5 2 3 2 2 5 3 3" xfId="23811" xr:uid="{E5CE9A3C-9F1C-49D6-A5A5-8AA127EF7561}"/>
    <cellStyle name="Normal 5 2 3 2 2 5 4" xfId="11147" xr:uid="{D062080C-F822-435E-9959-26C0027753D3}"/>
    <cellStyle name="Normal 5 2 3 2 2 5 5" xfId="19594" xr:uid="{FF05A2D6-B54C-4388-8930-E0B6D813C9D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3DD4AAA6-6B0C-4F7F-A486-B8531A218547}"/>
    <cellStyle name="Normal 5 2 3 2 2 6 2 2 3" xfId="26369" xr:uid="{644DA61A-8AFB-4267-AB41-6D4CF3AE84A1}"/>
    <cellStyle name="Normal 5 2 3 2 2 6 2 3" xfId="13705" xr:uid="{B1377B19-65F2-498D-BA44-FB1DB062A09C}"/>
    <cellStyle name="Normal 5 2 3 2 2 6 2 4" xfId="22152" xr:uid="{5974D4BA-BFA8-4C93-804B-968930B60DB2}"/>
    <cellStyle name="Normal 5 2 3 2 2 6 3" xfId="6451" xr:uid="{00000000-0005-0000-0000-000059180000}"/>
    <cellStyle name="Normal 5 2 3 2 2 6 3 2" xfId="15777" xr:uid="{1618A4EA-9E50-4D87-A5AF-741C77AF24A7}"/>
    <cellStyle name="Normal 5 2 3 2 2 6 3 3" xfId="24224" xr:uid="{98A95ED7-1DDC-4F78-9BD1-4787DE43DA21}"/>
    <cellStyle name="Normal 5 2 3 2 2 6 4" xfId="11560" xr:uid="{27737E7D-5A3C-47E8-8A5E-42AC854F82B4}"/>
    <cellStyle name="Normal 5 2 3 2 2 6 5" xfId="20007" xr:uid="{8FA2B5BD-F02B-4967-99B7-9184391F980D}"/>
    <cellStyle name="Normal 5 2 3 2 2 7" xfId="2581" xr:uid="{00000000-0005-0000-0000-00005A180000}"/>
    <cellStyle name="Normal 5 2 3 2 2 7 2" xfId="6864" xr:uid="{00000000-0005-0000-0000-00005B180000}"/>
    <cellStyle name="Normal 5 2 3 2 2 7 2 2" xfId="16190" xr:uid="{6549ECC2-6CAD-4D6C-8CB1-BC8445AAB96F}"/>
    <cellStyle name="Normal 5 2 3 2 2 7 2 3" xfId="24637" xr:uid="{479E7E65-298B-487C-AA3C-19C7CF8F6C8C}"/>
    <cellStyle name="Normal 5 2 3 2 2 7 3" xfId="11973" xr:uid="{E7CA12D3-6286-45D5-9D2A-34D868111324}"/>
    <cellStyle name="Normal 5 2 3 2 2 7 4" xfId="20420" xr:uid="{F9E949BC-84AE-42CE-B136-E2D05AA17BC4}"/>
    <cellStyle name="Normal 5 2 3 2 2 8" xfId="4799" xr:uid="{00000000-0005-0000-0000-00005C180000}"/>
    <cellStyle name="Normal 5 2 3 2 2 8 2" xfId="14125" xr:uid="{97846428-074C-46B7-A388-EE862F0BF3DC}"/>
    <cellStyle name="Normal 5 2 3 2 2 8 3" xfId="22572" xr:uid="{D2455670-9D76-44FD-AA39-6B29D9BC9B82}"/>
    <cellStyle name="Normal 5 2 3 2 2 9" xfId="8933" xr:uid="{2228AC18-CB51-4AF4-A227-403A8409C6C2}"/>
    <cellStyle name="Normal 5 2 3 2 3" xfId="428" xr:uid="{00000000-0005-0000-0000-00005D180000}"/>
    <cellStyle name="Normal 5 2 3 2 3 10" xfId="18357" xr:uid="{3A81FA5C-8CA0-4711-9DF5-61F3410833D8}"/>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BBAE84CF-0195-4981-96C7-F4BB4B66BB38}"/>
    <cellStyle name="Normal 5 2 3 2 3 2 2 2 3" xfId="25132" xr:uid="{6B14DC19-303A-411E-B825-D300CA1A0B9B}"/>
    <cellStyle name="Normal 5 2 3 2 3 2 2 3" xfId="12468" xr:uid="{E82A8B2E-2C70-448D-8391-C016F1F4A7E8}"/>
    <cellStyle name="Normal 5 2 3 2 3 2 2 4" xfId="20915" xr:uid="{B49AB45D-9751-487D-A503-1513D4DDA8A7}"/>
    <cellStyle name="Normal 5 2 3 2 3 2 3" xfId="5214" xr:uid="{00000000-0005-0000-0000-000061180000}"/>
    <cellStyle name="Normal 5 2 3 2 3 2 3 2" xfId="14540" xr:uid="{6C4E512F-2A2E-426B-951C-F34C0005BE08}"/>
    <cellStyle name="Normal 5 2 3 2 3 2 3 3" xfId="22987" xr:uid="{D4D6F316-430C-46BB-B5FC-B1D9FD9F4CE0}"/>
    <cellStyle name="Normal 5 2 3 2 3 2 4" xfId="9462" xr:uid="{B4C14F1A-A88A-428F-A7F8-BAFD7E5CD045}"/>
    <cellStyle name="Normal 5 2 3 2 3 2 5" xfId="10323" xr:uid="{5ED45BE3-93F4-4E94-AAEC-3DA311FA1A30}"/>
    <cellStyle name="Normal 5 2 3 2 3 2 6" xfId="18770" xr:uid="{9A584430-2649-4B19-B72B-D18F78E1BE79}"/>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81A6EF44-C223-4DBA-901C-21F578B5BC4C}"/>
    <cellStyle name="Normal 5 2 3 2 3 3 2 2 3" xfId="25545" xr:uid="{B12C548A-FC6C-4AC4-BB8A-F1C7814565F8}"/>
    <cellStyle name="Normal 5 2 3 2 3 3 2 3" xfId="12881" xr:uid="{AE8E2F0C-67BB-4C92-931F-D845978C75AA}"/>
    <cellStyle name="Normal 5 2 3 2 3 3 2 4" xfId="21328" xr:uid="{BE3154FE-E233-484A-B363-6A0419E0ADE4}"/>
    <cellStyle name="Normal 5 2 3 2 3 3 3" xfId="5627" xr:uid="{00000000-0005-0000-0000-000065180000}"/>
    <cellStyle name="Normal 5 2 3 2 3 3 3 2" xfId="14953" xr:uid="{5805C338-0056-4681-ADCF-1ACABBDA7600}"/>
    <cellStyle name="Normal 5 2 3 2 3 3 3 3" xfId="23400" xr:uid="{376C3727-BFE2-4AA2-AA92-2B26D546F643}"/>
    <cellStyle name="Normal 5 2 3 2 3 3 4" xfId="10736" xr:uid="{B0B530F5-FA58-4B77-AC32-3EEF5B07EBF3}"/>
    <cellStyle name="Normal 5 2 3 2 3 3 5" xfId="19183" xr:uid="{8E1A1891-5E6C-4767-B204-183764B40A1C}"/>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6C3F2BF0-5451-49BD-A1C2-16150ED7C788}"/>
    <cellStyle name="Normal 5 2 3 2 3 4 2 2 3" xfId="25958" xr:uid="{86A49178-29EF-473D-8F25-991CE3A0D5FD}"/>
    <cellStyle name="Normal 5 2 3 2 3 4 2 3" xfId="13294" xr:uid="{1D122E5E-3C57-4244-8D2F-C89F063ABAF3}"/>
    <cellStyle name="Normal 5 2 3 2 3 4 2 4" xfId="21741" xr:uid="{A17D9D19-2CF5-4732-975C-A8F565D49D8A}"/>
    <cellStyle name="Normal 5 2 3 2 3 4 3" xfId="6040" xr:uid="{00000000-0005-0000-0000-000069180000}"/>
    <cellStyle name="Normal 5 2 3 2 3 4 3 2" xfId="15366" xr:uid="{D1020CB1-7A44-4C65-BD26-82063BC8FEE2}"/>
    <cellStyle name="Normal 5 2 3 2 3 4 3 3" xfId="23813" xr:uid="{7C7D0268-A812-4029-BFF5-28D3CCB04924}"/>
    <cellStyle name="Normal 5 2 3 2 3 4 4" xfId="11149" xr:uid="{003479DA-5F7B-44FD-8E2B-6568E22A490C}"/>
    <cellStyle name="Normal 5 2 3 2 3 4 5" xfId="19596" xr:uid="{90D9E101-A355-4557-991C-4AC659A13D94}"/>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C7AC2C02-B79C-4FD2-8CD2-62EDFA9982C8}"/>
    <cellStyle name="Normal 5 2 3 2 3 5 2 2 3" xfId="26371" xr:uid="{A5E69167-6469-4FB9-B193-B9C7434E7E91}"/>
    <cellStyle name="Normal 5 2 3 2 3 5 2 3" xfId="13707" xr:uid="{2B23C42F-5C0B-4961-B13D-A254F21B9361}"/>
    <cellStyle name="Normal 5 2 3 2 3 5 2 4" xfId="22154" xr:uid="{1DB53262-0630-48EC-9216-79DDBFC0076A}"/>
    <cellStyle name="Normal 5 2 3 2 3 5 3" xfId="6453" xr:uid="{00000000-0005-0000-0000-00006D180000}"/>
    <cellStyle name="Normal 5 2 3 2 3 5 3 2" xfId="15779" xr:uid="{DBD4BC05-A487-424C-9F5B-AF6BF6790914}"/>
    <cellStyle name="Normal 5 2 3 2 3 5 3 3" xfId="24226" xr:uid="{02070C37-168C-418B-BAB6-D433BBC466DD}"/>
    <cellStyle name="Normal 5 2 3 2 3 5 4" xfId="11562" xr:uid="{5F48BC75-9B4E-45B4-9CF4-2E10336F9E9B}"/>
    <cellStyle name="Normal 5 2 3 2 3 5 5" xfId="20009" xr:uid="{6D099693-14FB-4D1E-A5C0-DDEA41EB2BD8}"/>
    <cellStyle name="Normal 5 2 3 2 3 6" xfId="2583" xr:uid="{00000000-0005-0000-0000-00006E180000}"/>
    <cellStyle name="Normal 5 2 3 2 3 6 2" xfId="6866" xr:uid="{00000000-0005-0000-0000-00006F180000}"/>
    <cellStyle name="Normal 5 2 3 2 3 6 2 2" xfId="16192" xr:uid="{CB41D9C9-BE88-488F-9C99-00A2EF96F228}"/>
    <cellStyle name="Normal 5 2 3 2 3 6 2 3" xfId="24639" xr:uid="{11BBF4A4-6B08-4E8C-A3BA-558E206D5B47}"/>
    <cellStyle name="Normal 5 2 3 2 3 6 3" xfId="11975" xr:uid="{311FA2AB-753D-48AA-92BF-BEF11B9B940D}"/>
    <cellStyle name="Normal 5 2 3 2 3 6 4" xfId="20422" xr:uid="{3E0CF750-B0AE-46A6-8142-B6FD43ACB8DF}"/>
    <cellStyle name="Normal 5 2 3 2 3 7" xfId="4801" xr:uid="{00000000-0005-0000-0000-000070180000}"/>
    <cellStyle name="Normal 5 2 3 2 3 7 2" xfId="14127" xr:uid="{286AB80D-17C2-459F-A9B5-9BE0EEB6F6BE}"/>
    <cellStyle name="Normal 5 2 3 2 3 7 3" xfId="22574" xr:uid="{44111E13-0CBC-4DEE-9120-0160D4D29863}"/>
    <cellStyle name="Normal 5 2 3 2 3 8" xfId="9037" xr:uid="{EED46D7F-EFCD-4AC1-931D-AB06B694E7BE}"/>
    <cellStyle name="Normal 5 2 3 2 3 9" xfId="9910" xr:uid="{F16919E9-E6C2-4FFD-A505-55A0F23D615A}"/>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9BC1BE99-7EA5-4484-9296-B4044B2DD522}"/>
    <cellStyle name="Normal 5 2 3 2 4 2 2 3" xfId="25129" xr:uid="{9C91F7B8-331D-4340-92C2-8F82BC8CF6DC}"/>
    <cellStyle name="Normal 5 2 3 2 4 2 3" xfId="12465" xr:uid="{8B17DC4B-F380-4685-A4C6-437ABABDADC3}"/>
    <cellStyle name="Normal 5 2 3 2 4 2 4" xfId="20912" xr:uid="{D4337EE1-A0FC-4DC3-ADBF-AE3C757F386D}"/>
    <cellStyle name="Normal 5 2 3 2 4 3" xfId="5211" xr:uid="{00000000-0005-0000-0000-000074180000}"/>
    <cellStyle name="Normal 5 2 3 2 4 3 2" xfId="14537" xr:uid="{9B2A9B90-DF26-42DD-B77D-5349F155DD88}"/>
    <cellStyle name="Normal 5 2 3 2 4 3 3" xfId="22984" xr:uid="{C1917587-ABBB-4437-A5DB-52CA750B755C}"/>
    <cellStyle name="Normal 5 2 3 2 4 4" xfId="9255" xr:uid="{C5A161BB-6C4F-4A9D-BBA7-7500B0B26A70}"/>
    <cellStyle name="Normal 5 2 3 2 4 5" xfId="10320" xr:uid="{3EBFE42D-B323-4DC9-8302-4D68DA3FAE89}"/>
    <cellStyle name="Normal 5 2 3 2 4 6" xfId="18767" xr:uid="{0409D017-9DED-462F-9A05-33BF3250A5B3}"/>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DB2C339C-B976-4491-A9C2-FC4268716D3D}"/>
    <cellStyle name="Normal 5 2 3 2 5 2 2 3" xfId="25542" xr:uid="{B0DE8EFF-8FE8-416A-8237-0004BCAEFB01}"/>
    <cellStyle name="Normal 5 2 3 2 5 2 3" xfId="12878" xr:uid="{A9A6C692-389A-4D8F-B7B2-DBC35703F92F}"/>
    <cellStyle name="Normal 5 2 3 2 5 2 4" xfId="21325" xr:uid="{B131AEAE-C8F7-4857-BD84-5C46382620C3}"/>
    <cellStyle name="Normal 5 2 3 2 5 3" xfId="5624" xr:uid="{00000000-0005-0000-0000-000078180000}"/>
    <cellStyle name="Normal 5 2 3 2 5 3 2" xfId="14950" xr:uid="{E8F1FAAC-A24E-4BCB-B49D-F3AF99452AD9}"/>
    <cellStyle name="Normal 5 2 3 2 5 3 3" xfId="23397" xr:uid="{27BF8EC2-7B7A-4F9A-85E8-9FBC26A47C75}"/>
    <cellStyle name="Normal 5 2 3 2 5 4" xfId="10733" xr:uid="{11A24768-369D-4582-BB1A-F5AA8C9C791E}"/>
    <cellStyle name="Normal 5 2 3 2 5 5" xfId="19180" xr:uid="{56694AA6-6AD3-4D31-B1FF-2187D092B895}"/>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A2A068BA-E2D4-428D-A9B0-72A5540C0F23}"/>
    <cellStyle name="Normal 5 2 3 2 6 2 2 3" xfId="25955" xr:uid="{966B6AFD-AFC8-489B-AD51-B4D427A95B63}"/>
    <cellStyle name="Normal 5 2 3 2 6 2 3" xfId="13291" xr:uid="{6C41A302-14F3-4F19-9C1B-7DA3D755CA13}"/>
    <cellStyle name="Normal 5 2 3 2 6 2 4" xfId="21738" xr:uid="{AB49EF2E-DF5B-4DBB-9C73-CC890A2CE5EF}"/>
    <cellStyle name="Normal 5 2 3 2 6 3" xfId="6037" xr:uid="{00000000-0005-0000-0000-00007C180000}"/>
    <cellStyle name="Normal 5 2 3 2 6 3 2" xfId="15363" xr:uid="{E94B97CA-EA91-42B4-A995-9E7F9448368E}"/>
    <cellStyle name="Normal 5 2 3 2 6 3 3" xfId="23810" xr:uid="{6F43B7A1-DF34-44C7-9104-80E0DEE212D5}"/>
    <cellStyle name="Normal 5 2 3 2 6 4" xfId="11146" xr:uid="{2CEDE6E9-569D-4B30-AC64-B3F0DAEB4725}"/>
    <cellStyle name="Normal 5 2 3 2 6 5" xfId="19593" xr:uid="{3D7800CA-A37B-405A-B848-1BB0C732AEF2}"/>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2976FC07-B974-4986-B344-7429C4EA5644}"/>
    <cellStyle name="Normal 5 2 3 2 7 2 2 3" xfId="26368" xr:uid="{D2C81DF0-DFD7-48B4-9110-FA4BD2805D24}"/>
    <cellStyle name="Normal 5 2 3 2 7 2 3" xfId="13704" xr:uid="{EE7BD6DD-4274-4009-825A-4FFD9D32D92F}"/>
    <cellStyle name="Normal 5 2 3 2 7 2 4" xfId="22151" xr:uid="{A640E7CD-946A-4A24-9A47-C2F3FD2CB7E4}"/>
    <cellStyle name="Normal 5 2 3 2 7 3" xfId="6450" xr:uid="{00000000-0005-0000-0000-000080180000}"/>
    <cellStyle name="Normal 5 2 3 2 7 3 2" xfId="15776" xr:uid="{B5E69BC7-08FA-4B97-84E1-430BFD1B90CF}"/>
    <cellStyle name="Normal 5 2 3 2 7 3 3" xfId="24223" xr:uid="{CA0F763B-B6FF-46A3-AFF4-3E2157135BD6}"/>
    <cellStyle name="Normal 5 2 3 2 7 4" xfId="11559" xr:uid="{4DF82659-C7C4-4779-ADE8-0E948930290D}"/>
    <cellStyle name="Normal 5 2 3 2 7 5" xfId="20006" xr:uid="{27B3B345-ABDB-4425-8FF9-3BB8D14273F9}"/>
    <cellStyle name="Normal 5 2 3 2 8" xfId="2580" xr:uid="{00000000-0005-0000-0000-000081180000}"/>
    <cellStyle name="Normal 5 2 3 2 8 2" xfId="6863" xr:uid="{00000000-0005-0000-0000-000082180000}"/>
    <cellStyle name="Normal 5 2 3 2 8 2 2" xfId="16189" xr:uid="{1862920C-F7C9-4716-9B24-312F601E7BDF}"/>
    <cellStyle name="Normal 5 2 3 2 8 2 3" xfId="24636" xr:uid="{344C32D5-0D55-40EC-A68E-6A8EAD31F8C8}"/>
    <cellStyle name="Normal 5 2 3 2 8 3" xfId="11972" xr:uid="{8AF19D66-09AE-445E-B280-006708E95CA4}"/>
    <cellStyle name="Normal 5 2 3 2 8 4" xfId="20419" xr:uid="{295F6F30-E339-4D36-BFF1-6E295C7C5695}"/>
    <cellStyle name="Normal 5 2 3 2 9" xfId="4798" xr:uid="{00000000-0005-0000-0000-000083180000}"/>
    <cellStyle name="Normal 5 2 3 2 9 2" xfId="14124" xr:uid="{8C1F3114-2620-4290-9EBA-EC19B24378CA}"/>
    <cellStyle name="Normal 5 2 3 2 9 3" xfId="22571" xr:uid="{A55193D7-5F40-4934-AECE-1678CD1CADF5}"/>
    <cellStyle name="Normal 5 2 3 3" xfId="429" xr:uid="{00000000-0005-0000-0000-000084180000}"/>
    <cellStyle name="Normal 5 2 3 3 10" xfId="9911" xr:uid="{189BB8F9-3F05-4E1B-939B-7A45BEA4F2A2}"/>
    <cellStyle name="Normal 5 2 3 3 11" xfId="18358" xr:uid="{A9440601-703F-428D-AD42-F38906F7D958}"/>
    <cellStyle name="Normal 5 2 3 3 2" xfId="430" xr:uid="{00000000-0005-0000-0000-000085180000}"/>
    <cellStyle name="Normal 5 2 3 3 2 10" xfId="18359" xr:uid="{9E621F46-1318-4297-87F7-17C7A2CF59A3}"/>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D576A5B6-8AD3-427B-8B63-A0694EA4F8CD}"/>
    <cellStyle name="Normal 5 2 3 3 2 2 2 2 3" xfId="25134" xr:uid="{F83E3BEB-0E42-4802-833E-24418550112A}"/>
    <cellStyle name="Normal 5 2 3 3 2 2 2 3" xfId="12470" xr:uid="{554DF450-0009-47BD-8271-EB8F0C9B7D63}"/>
    <cellStyle name="Normal 5 2 3 3 2 2 2 4" xfId="20917" xr:uid="{52C637DC-88B2-456A-B492-24D54C15DEDB}"/>
    <cellStyle name="Normal 5 2 3 3 2 2 3" xfId="5216" xr:uid="{00000000-0005-0000-0000-000089180000}"/>
    <cellStyle name="Normal 5 2 3 3 2 2 3 2" xfId="14542" xr:uid="{1A07A9A0-BED2-4C8C-A386-D6EE01884D88}"/>
    <cellStyle name="Normal 5 2 3 3 2 2 3 3" xfId="22989" xr:uid="{AA2AC8D8-A50F-4723-9C37-1E02B5566A21}"/>
    <cellStyle name="Normal 5 2 3 3 2 2 4" xfId="9511" xr:uid="{75EF02F8-0397-4B30-A858-343ADCA7C08D}"/>
    <cellStyle name="Normal 5 2 3 3 2 2 5" xfId="10325" xr:uid="{05EFC7DF-796B-4A86-9F0D-A50E5A475951}"/>
    <cellStyle name="Normal 5 2 3 3 2 2 6" xfId="18772" xr:uid="{357C0EB8-8ABC-48D3-BDD9-A1FB373AC3EB}"/>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31181253-4AB6-43BC-90BD-08E3080655A4}"/>
    <cellStyle name="Normal 5 2 3 3 2 3 2 2 3" xfId="25547" xr:uid="{746B9BBF-E2B0-4815-AE58-F7F17BD2534A}"/>
    <cellStyle name="Normal 5 2 3 3 2 3 2 3" xfId="12883" xr:uid="{1BA48474-3A77-4573-92DE-E9900CF791BE}"/>
    <cellStyle name="Normal 5 2 3 3 2 3 2 4" xfId="21330" xr:uid="{2FABA202-4AF9-4FAF-A03F-E3FDE359F9D5}"/>
    <cellStyle name="Normal 5 2 3 3 2 3 3" xfId="5629" xr:uid="{00000000-0005-0000-0000-00008D180000}"/>
    <cellStyle name="Normal 5 2 3 3 2 3 3 2" xfId="14955" xr:uid="{2279D6BB-0271-4145-8C3F-BE1B2D1ACC00}"/>
    <cellStyle name="Normal 5 2 3 3 2 3 3 3" xfId="23402" xr:uid="{7A45DCAF-D156-44D8-8159-3FDA193C4A07}"/>
    <cellStyle name="Normal 5 2 3 3 2 3 4" xfId="10738" xr:uid="{C9B57156-5BCF-4456-9BD6-7827F0E02045}"/>
    <cellStyle name="Normal 5 2 3 3 2 3 5" xfId="19185" xr:uid="{177A88DA-2127-45CA-9554-856BF5C1C29E}"/>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F525EDD6-DB38-421D-916E-C846B36FFC5A}"/>
    <cellStyle name="Normal 5 2 3 3 2 4 2 2 3" xfId="25960" xr:uid="{F0384690-5617-4C12-9F2C-C5B58C6BB6E7}"/>
    <cellStyle name="Normal 5 2 3 3 2 4 2 3" xfId="13296" xr:uid="{88F9B9E8-D386-4500-9F75-EAAE715BAC65}"/>
    <cellStyle name="Normal 5 2 3 3 2 4 2 4" xfId="21743" xr:uid="{8ED40F21-384D-4830-9FB6-46B3557E8150}"/>
    <cellStyle name="Normal 5 2 3 3 2 4 3" xfId="6042" xr:uid="{00000000-0005-0000-0000-000091180000}"/>
    <cellStyle name="Normal 5 2 3 3 2 4 3 2" xfId="15368" xr:uid="{B8B335BF-761D-4EC7-B786-7645D10A232D}"/>
    <cellStyle name="Normal 5 2 3 3 2 4 3 3" xfId="23815" xr:uid="{F82DA25D-34D7-4134-B6EE-659A2C44DE5C}"/>
    <cellStyle name="Normal 5 2 3 3 2 4 4" xfId="11151" xr:uid="{D7C39AF6-8A33-41A9-9630-54E359B6B1D7}"/>
    <cellStyle name="Normal 5 2 3 3 2 4 5" xfId="19598" xr:uid="{E0D3CC83-ED35-49F4-8C85-E62C5081CA12}"/>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E43DDE6D-8136-4116-8391-C8AD3A87A4DB}"/>
    <cellStyle name="Normal 5 2 3 3 2 5 2 2 3" xfId="26373" xr:uid="{CB5B3D56-5E18-475E-98F2-BBFA7F15BE60}"/>
    <cellStyle name="Normal 5 2 3 3 2 5 2 3" xfId="13709" xr:uid="{DEE27204-9A43-4D4D-A696-E71B0FCAD143}"/>
    <cellStyle name="Normal 5 2 3 3 2 5 2 4" xfId="22156" xr:uid="{EC1509CF-45BE-4BD6-BF22-AC15AF62F3B2}"/>
    <cellStyle name="Normal 5 2 3 3 2 5 3" xfId="6455" xr:uid="{00000000-0005-0000-0000-000095180000}"/>
    <cellStyle name="Normal 5 2 3 3 2 5 3 2" xfId="15781" xr:uid="{FEAD7FBE-ABEB-430F-9987-DA42A052FFBD}"/>
    <cellStyle name="Normal 5 2 3 3 2 5 3 3" xfId="24228" xr:uid="{65DBF490-98BD-4DD6-8FCD-73A0F0970755}"/>
    <cellStyle name="Normal 5 2 3 3 2 5 4" xfId="11564" xr:uid="{1EDD9FBF-F728-4AB3-9B8D-DA6641E2BF12}"/>
    <cellStyle name="Normal 5 2 3 3 2 5 5" xfId="20011" xr:uid="{A9E70173-38E7-4287-88B1-050F83955EFB}"/>
    <cellStyle name="Normal 5 2 3 3 2 6" xfId="2585" xr:uid="{00000000-0005-0000-0000-000096180000}"/>
    <cellStyle name="Normal 5 2 3 3 2 6 2" xfId="6868" xr:uid="{00000000-0005-0000-0000-000097180000}"/>
    <cellStyle name="Normal 5 2 3 3 2 6 2 2" xfId="16194" xr:uid="{FF765F1E-7A83-47C5-8FBC-3CD68C3743C9}"/>
    <cellStyle name="Normal 5 2 3 3 2 6 2 3" xfId="24641" xr:uid="{B8F81978-8CDE-405D-926D-BBD451EC24A2}"/>
    <cellStyle name="Normal 5 2 3 3 2 6 3" xfId="11977" xr:uid="{69517B28-A6ED-485A-846F-DF69D7882C92}"/>
    <cellStyle name="Normal 5 2 3 3 2 6 4" xfId="20424" xr:uid="{74D79081-7F84-4495-BD1D-67A43F09B3D6}"/>
    <cellStyle name="Normal 5 2 3 3 2 7" xfId="4803" xr:uid="{00000000-0005-0000-0000-000098180000}"/>
    <cellStyle name="Normal 5 2 3 3 2 7 2" xfId="14129" xr:uid="{017DD104-F4D3-40F4-83A5-F4E61C9AD023}"/>
    <cellStyle name="Normal 5 2 3 3 2 7 3" xfId="22576" xr:uid="{3F96F5DA-5314-490B-A101-E5B18AF66B87}"/>
    <cellStyle name="Normal 5 2 3 3 2 8" xfId="9086" xr:uid="{442E5F61-F00C-4774-822F-4985AB3E1CB7}"/>
    <cellStyle name="Normal 5 2 3 3 2 9" xfId="9912" xr:uid="{2834B623-DCF1-44CC-B5BC-D87563D532DC}"/>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4753C8F7-059C-4CB0-A826-D4481430B3D8}"/>
    <cellStyle name="Normal 5 2 3 3 3 2 2 3" xfId="25133" xr:uid="{768FE8FA-33B3-4B75-A9DD-9793AA9DAF87}"/>
    <cellStyle name="Normal 5 2 3 3 3 2 3" xfId="12469" xr:uid="{A24F95E9-16FF-4DD6-8FBE-0AFE18333CFC}"/>
    <cellStyle name="Normal 5 2 3 3 3 2 4" xfId="20916" xr:uid="{5AC345B9-24FA-4063-AA1E-01DB28DBF3FA}"/>
    <cellStyle name="Normal 5 2 3 3 3 3" xfId="5215" xr:uid="{00000000-0005-0000-0000-00009C180000}"/>
    <cellStyle name="Normal 5 2 3 3 3 3 2" xfId="14541" xr:uid="{867364BA-2539-4A25-8D33-1E929DAF484D}"/>
    <cellStyle name="Normal 5 2 3 3 3 3 3" xfId="22988" xr:uid="{9102EF0D-AD53-464E-A600-F34888E5606A}"/>
    <cellStyle name="Normal 5 2 3 3 3 4" xfId="9304" xr:uid="{2C783A77-F32A-4E64-807E-062B95DB0310}"/>
    <cellStyle name="Normal 5 2 3 3 3 5" xfId="10324" xr:uid="{F15755AC-DC93-4447-9E6D-87A56599E3DB}"/>
    <cellStyle name="Normal 5 2 3 3 3 6" xfId="18771" xr:uid="{8CF2A17B-DBB0-48A9-B0E2-E420511E5E69}"/>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47DEE810-3E44-4E3C-8C0C-036FDB2D6CFC}"/>
    <cellStyle name="Normal 5 2 3 3 4 2 2 3" xfId="25546" xr:uid="{07C8D988-B398-41EA-BD9E-F07F57A5D6D4}"/>
    <cellStyle name="Normal 5 2 3 3 4 2 3" xfId="12882" xr:uid="{116615F5-252E-4C85-A767-900063D5A859}"/>
    <cellStyle name="Normal 5 2 3 3 4 2 4" xfId="21329" xr:uid="{B8E4A536-DBAC-4F3D-896A-82ED805A1F60}"/>
    <cellStyle name="Normal 5 2 3 3 4 3" xfId="5628" xr:uid="{00000000-0005-0000-0000-0000A0180000}"/>
    <cellStyle name="Normal 5 2 3 3 4 3 2" xfId="14954" xr:uid="{6D622D96-79C2-4409-BBFB-0F2C0594FE51}"/>
    <cellStyle name="Normal 5 2 3 3 4 3 3" xfId="23401" xr:uid="{FFD7AB72-8A92-4206-B253-3A6E4B542AE5}"/>
    <cellStyle name="Normal 5 2 3 3 4 4" xfId="10737" xr:uid="{6542EC7C-9FE8-4BB1-8B42-346741C4E0FD}"/>
    <cellStyle name="Normal 5 2 3 3 4 5" xfId="19184" xr:uid="{16BAE449-B5FA-40CB-8A0B-28CE4B05EE33}"/>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4A2DD81A-B84C-4DCD-9A35-5B81D763AF31}"/>
    <cellStyle name="Normal 5 2 3 3 5 2 2 3" xfId="25959" xr:uid="{77AC5802-D738-436C-9AA7-B5E968974625}"/>
    <cellStyle name="Normal 5 2 3 3 5 2 3" xfId="13295" xr:uid="{5C05A282-7365-471C-A429-9383C1A1A85D}"/>
    <cellStyle name="Normal 5 2 3 3 5 2 4" xfId="21742" xr:uid="{81E1BC97-0837-439E-B9A5-3588FB7C269E}"/>
    <cellStyle name="Normal 5 2 3 3 5 3" xfId="6041" xr:uid="{00000000-0005-0000-0000-0000A4180000}"/>
    <cellStyle name="Normal 5 2 3 3 5 3 2" xfId="15367" xr:uid="{0C2CEA1B-713F-4F01-99C6-6EE21BCFD769}"/>
    <cellStyle name="Normal 5 2 3 3 5 3 3" xfId="23814" xr:uid="{57F4D847-D4BD-4518-BF5A-30516F3FD058}"/>
    <cellStyle name="Normal 5 2 3 3 5 4" xfId="11150" xr:uid="{B994087E-F2BB-4C9F-972F-2026BADEA6C7}"/>
    <cellStyle name="Normal 5 2 3 3 5 5" xfId="19597" xr:uid="{0AE34F21-A92D-4512-9056-A8B9D0C11388}"/>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21B732AA-BF89-49EA-9276-6A265D4FB26F}"/>
    <cellStyle name="Normal 5 2 3 3 6 2 2 3" xfId="26372" xr:uid="{85DCD2E7-2DC7-464B-92DF-EDCD426F81F0}"/>
    <cellStyle name="Normal 5 2 3 3 6 2 3" xfId="13708" xr:uid="{2D14B875-5469-44E4-B811-EB2BC6FCB3FB}"/>
    <cellStyle name="Normal 5 2 3 3 6 2 4" xfId="22155" xr:uid="{273C27F4-E858-448B-87DF-90BD8A162CC3}"/>
    <cellStyle name="Normal 5 2 3 3 6 3" xfId="6454" xr:uid="{00000000-0005-0000-0000-0000A8180000}"/>
    <cellStyle name="Normal 5 2 3 3 6 3 2" xfId="15780" xr:uid="{2BFEB97C-7139-4AF9-95F0-90EA8832615D}"/>
    <cellStyle name="Normal 5 2 3 3 6 3 3" xfId="24227" xr:uid="{F7F84FA1-1115-4E7D-9DDB-AE4E20B7CB88}"/>
    <cellStyle name="Normal 5 2 3 3 6 4" xfId="11563" xr:uid="{08B3ABDF-BACF-4B84-B0B8-E4AF670DD79D}"/>
    <cellStyle name="Normal 5 2 3 3 6 5" xfId="20010" xr:uid="{BF93E3AA-DD2D-4BD2-A1AE-F88FEA1EE5A7}"/>
    <cellStyle name="Normal 5 2 3 3 7" xfId="2584" xr:uid="{00000000-0005-0000-0000-0000A9180000}"/>
    <cellStyle name="Normal 5 2 3 3 7 2" xfId="6867" xr:uid="{00000000-0005-0000-0000-0000AA180000}"/>
    <cellStyle name="Normal 5 2 3 3 7 2 2" xfId="16193" xr:uid="{25F75F1E-D905-4236-9E50-FCBE7771BF96}"/>
    <cellStyle name="Normal 5 2 3 3 7 2 3" xfId="24640" xr:uid="{82CD1D62-1A2D-42C5-B7A1-0E6541B2A5F2}"/>
    <cellStyle name="Normal 5 2 3 3 7 3" xfId="11976" xr:uid="{0054B264-42DE-4A9B-AD49-6D4EE31F4CD9}"/>
    <cellStyle name="Normal 5 2 3 3 7 4" xfId="20423" xr:uid="{D8CEC353-D03E-41A1-8A73-1B2FB035E894}"/>
    <cellStyle name="Normal 5 2 3 3 8" xfId="4802" xr:uid="{00000000-0005-0000-0000-0000AB180000}"/>
    <cellStyle name="Normal 5 2 3 3 8 2" xfId="14128" xr:uid="{C25C797B-637F-44C7-A63E-64E08FDA796F}"/>
    <cellStyle name="Normal 5 2 3 3 8 3" xfId="22575" xr:uid="{9D1E1815-1C0F-46BD-9A50-6E9A56304BD9}"/>
    <cellStyle name="Normal 5 2 3 3 9" xfId="8879" xr:uid="{F521005C-E3E0-4B64-9C0A-0C510FB9AAB2}"/>
    <cellStyle name="Normal 5 2 3 4" xfId="431" xr:uid="{00000000-0005-0000-0000-0000AC180000}"/>
    <cellStyle name="Normal 5 2 3 4 10" xfId="18360" xr:uid="{85420210-A0FA-4EFA-B577-D0E1E63FFC89}"/>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4FA05DCA-5B36-4D13-8BB6-7B3008AC6D26}"/>
    <cellStyle name="Normal 5 2 3 4 2 2 2 3" xfId="25135" xr:uid="{811AC224-71EE-472C-A75F-383C416C032A}"/>
    <cellStyle name="Normal 5 2 3 4 2 2 3" xfId="12471" xr:uid="{F5FB9875-4997-48CC-AE56-2D426CDEED50}"/>
    <cellStyle name="Normal 5 2 3 4 2 2 4" xfId="20918" xr:uid="{8151434D-6BCF-44B4-BE34-B82939C1A87A}"/>
    <cellStyle name="Normal 5 2 3 4 2 3" xfId="5217" xr:uid="{00000000-0005-0000-0000-0000B0180000}"/>
    <cellStyle name="Normal 5 2 3 4 2 3 2" xfId="14543" xr:uid="{5291489F-502F-4531-800C-2BC1BEC223BF}"/>
    <cellStyle name="Normal 5 2 3 4 2 3 3" xfId="22990" xr:uid="{B8C1A8D7-736B-4B11-94D3-F2568CD04258}"/>
    <cellStyle name="Normal 5 2 3 4 2 4" xfId="9408" xr:uid="{3B6F9C6F-3D7C-45F8-99FE-451C0F8CED36}"/>
    <cellStyle name="Normal 5 2 3 4 2 5" xfId="10326" xr:uid="{CF8D5BEB-8AB3-4278-A246-A8ABC1CF90F4}"/>
    <cellStyle name="Normal 5 2 3 4 2 6" xfId="18773" xr:uid="{2C94D8CA-4BAC-4AF5-83BF-AE10D3672FC8}"/>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2A41DA3C-C8C5-4DDD-B469-743C977A9580}"/>
    <cellStyle name="Normal 5 2 3 4 3 2 2 3" xfId="25548" xr:uid="{05CD0143-6046-4B2B-ADC2-C2098CE27761}"/>
    <cellStyle name="Normal 5 2 3 4 3 2 3" xfId="12884" xr:uid="{629FB698-AC85-46B6-90E3-A989DB64855D}"/>
    <cellStyle name="Normal 5 2 3 4 3 2 4" xfId="21331" xr:uid="{CFAB066C-F44C-4810-8017-8FA542E369AC}"/>
    <cellStyle name="Normal 5 2 3 4 3 3" xfId="5630" xr:uid="{00000000-0005-0000-0000-0000B4180000}"/>
    <cellStyle name="Normal 5 2 3 4 3 3 2" xfId="14956" xr:uid="{9725F4DE-2B45-449A-A6E3-192DA15D99C8}"/>
    <cellStyle name="Normal 5 2 3 4 3 3 3" xfId="23403" xr:uid="{E6334C03-9AAA-41C0-BAF6-2B4FFAC074FD}"/>
    <cellStyle name="Normal 5 2 3 4 3 4" xfId="10739" xr:uid="{F5AC7B84-140C-4AA1-BB0A-07C405D90AEA}"/>
    <cellStyle name="Normal 5 2 3 4 3 5" xfId="19186" xr:uid="{94B1EEAD-F8A9-4AF3-8973-01F0A6C4E268}"/>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B57139D7-680C-488A-A82E-21A651C381F6}"/>
    <cellStyle name="Normal 5 2 3 4 4 2 2 3" xfId="25961" xr:uid="{72CD6271-1B39-4194-A566-B9400FB25B32}"/>
    <cellStyle name="Normal 5 2 3 4 4 2 3" xfId="13297" xr:uid="{CC7888E3-42CB-470A-8665-AC3754C70B99}"/>
    <cellStyle name="Normal 5 2 3 4 4 2 4" xfId="21744" xr:uid="{5FC11928-472E-46DF-A044-A20499B62763}"/>
    <cellStyle name="Normal 5 2 3 4 4 3" xfId="6043" xr:uid="{00000000-0005-0000-0000-0000B8180000}"/>
    <cellStyle name="Normal 5 2 3 4 4 3 2" xfId="15369" xr:uid="{BCDA1734-A166-4394-A46A-60A3332899B2}"/>
    <cellStyle name="Normal 5 2 3 4 4 3 3" xfId="23816" xr:uid="{9C32A632-900C-4287-94C6-DC5793BA67EA}"/>
    <cellStyle name="Normal 5 2 3 4 4 4" xfId="11152" xr:uid="{E608FB11-DCC4-4C24-967F-154270D68FFB}"/>
    <cellStyle name="Normal 5 2 3 4 4 5" xfId="19599" xr:uid="{23873746-173A-4FD2-B2C8-17E5D0286D46}"/>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3EFB2839-EF22-4911-AF1A-9AD9A695D801}"/>
    <cellStyle name="Normal 5 2 3 4 5 2 2 3" xfId="26374" xr:uid="{05D9B81D-57DB-41AA-9DF4-F38345E778F0}"/>
    <cellStyle name="Normal 5 2 3 4 5 2 3" xfId="13710" xr:uid="{85377A52-7655-41F0-B6CC-A1864EFE0DAB}"/>
    <cellStyle name="Normal 5 2 3 4 5 2 4" xfId="22157" xr:uid="{4FD16EBC-8927-4642-AC03-6AFDC3382185}"/>
    <cellStyle name="Normal 5 2 3 4 5 3" xfId="6456" xr:uid="{00000000-0005-0000-0000-0000BC180000}"/>
    <cellStyle name="Normal 5 2 3 4 5 3 2" xfId="15782" xr:uid="{2E61B764-1108-43F0-8240-4F4435EDE89B}"/>
    <cellStyle name="Normal 5 2 3 4 5 3 3" xfId="24229" xr:uid="{CCB9181E-415B-43BF-A6C2-15E995A9F4F2}"/>
    <cellStyle name="Normal 5 2 3 4 5 4" xfId="11565" xr:uid="{8F8B0E60-3356-433B-90E3-42FE5EA28BB5}"/>
    <cellStyle name="Normal 5 2 3 4 5 5" xfId="20012" xr:uid="{987327A0-9C08-4FB9-856C-7CA1C7788461}"/>
    <cellStyle name="Normal 5 2 3 4 6" xfId="2586" xr:uid="{00000000-0005-0000-0000-0000BD180000}"/>
    <cellStyle name="Normal 5 2 3 4 6 2" xfId="6869" xr:uid="{00000000-0005-0000-0000-0000BE180000}"/>
    <cellStyle name="Normal 5 2 3 4 6 2 2" xfId="16195" xr:uid="{65D6E168-E19D-4DD1-B190-37EEED738515}"/>
    <cellStyle name="Normal 5 2 3 4 6 2 3" xfId="24642" xr:uid="{CE338A29-5857-40B8-9BC6-3B17A718B24E}"/>
    <cellStyle name="Normal 5 2 3 4 6 3" xfId="11978" xr:uid="{3EDCCFB9-2C95-446E-A445-BC674D382F57}"/>
    <cellStyle name="Normal 5 2 3 4 6 4" xfId="20425" xr:uid="{A833D58E-A199-4739-8B12-C252D6451D79}"/>
    <cellStyle name="Normal 5 2 3 4 7" xfId="4804" xr:uid="{00000000-0005-0000-0000-0000BF180000}"/>
    <cellStyle name="Normal 5 2 3 4 7 2" xfId="14130" xr:uid="{0F1F984B-68FB-441E-AC99-1E75C8D45390}"/>
    <cellStyle name="Normal 5 2 3 4 7 3" xfId="22577" xr:uid="{AB2770EF-490C-41BF-8D0D-C888C164C867}"/>
    <cellStyle name="Normal 5 2 3 4 8" xfId="8983" xr:uid="{07388FCC-03DE-4CE8-89CB-9C92F8174E24}"/>
    <cellStyle name="Normal 5 2 3 4 9" xfId="9913" xr:uid="{619F8A45-9AE7-484B-9C81-8DDF0A46B30E}"/>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2A1E9001-802F-4B88-8CFE-F81413C8D19F}"/>
    <cellStyle name="Normal 5 2 3 5 2 2 3" xfId="25128" xr:uid="{FDEF6152-C46D-4A8C-B76D-B5A75547297A}"/>
    <cellStyle name="Normal 5 2 3 5 2 3" xfId="12464" xr:uid="{675F0140-1B12-4F7B-B77B-A31497F71FFE}"/>
    <cellStyle name="Normal 5 2 3 5 2 4" xfId="20911" xr:uid="{A43C208C-47F6-40FB-9AD6-D8FB53246B5E}"/>
    <cellStyle name="Normal 5 2 3 5 3" xfId="5210" xr:uid="{00000000-0005-0000-0000-0000C3180000}"/>
    <cellStyle name="Normal 5 2 3 5 3 2" xfId="14536" xr:uid="{0216C029-8DAE-44B6-B7CB-2815FC5073B8}"/>
    <cellStyle name="Normal 5 2 3 5 3 3" xfId="22983" xr:uid="{D2A5918C-88D9-4E26-A93A-6F1CD3937081}"/>
    <cellStyle name="Normal 5 2 3 5 4" xfId="9200" xr:uid="{13DE827A-4007-427A-9869-ADBBE6B70993}"/>
    <cellStyle name="Normal 5 2 3 5 5" xfId="10319" xr:uid="{443377EE-9E61-4744-AA2E-6A390F9D8F61}"/>
    <cellStyle name="Normal 5 2 3 5 6" xfId="18766" xr:uid="{AA64B780-2149-43AC-A93A-430E046688BF}"/>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65656278-79C4-46DA-A83A-7EC9B69871F1}"/>
    <cellStyle name="Normal 5 2 3 6 2 2 3" xfId="25541" xr:uid="{1EAF2519-DD9E-4593-BCBE-0ED7B9A758EC}"/>
    <cellStyle name="Normal 5 2 3 6 2 3" xfId="12877" xr:uid="{FFEB2F12-0E53-4962-8930-87991E6F0CB0}"/>
    <cellStyle name="Normal 5 2 3 6 2 4" xfId="21324" xr:uid="{46004429-3B55-47F3-811E-4CF6A1BC7AEC}"/>
    <cellStyle name="Normal 5 2 3 6 3" xfId="5623" xr:uid="{00000000-0005-0000-0000-0000C7180000}"/>
    <cellStyle name="Normal 5 2 3 6 3 2" xfId="14949" xr:uid="{EFFC8558-18FD-47BE-8B22-F8E0FED5C721}"/>
    <cellStyle name="Normal 5 2 3 6 3 3" xfId="23396" xr:uid="{8F6D7070-F8E8-4D8C-BA72-CCE7CB524F09}"/>
    <cellStyle name="Normal 5 2 3 6 4" xfId="10732" xr:uid="{B01D46E9-0308-44DF-BF5F-441FD7C0F49D}"/>
    <cellStyle name="Normal 5 2 3 6 5" xfId="19179" xr:uid="{669FF0DC-1C49-4B55-9A95-65DB6D407E87}"/>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478DF1D1-9406-4727-A50F-AC37890D37BE}"/>
    <cellStyle name="Normal 5 2 3 7 2 2 3" xfId="25954" xr:uid="{26C6C1BA-24D8-4D48-B478-77D231E22191}"/>
    <cellStyle name="Normal 5 2 3 7 2 3" xfId="13290" xr:uid="{27A7D506-8687-4BAE-B540-44E5A42B3A46}"/>
    <cellStyle name="Normal 5 2 3 7 2 4" xfId="21737" xr:uid="{C373DDB8-2427-4CFD-A120-FC85F3FAA5AE}"/>
    <cellStyle name="Normal 5 2 3 7 3" xfId="6036" xr:uid="{00000000-0005-0000-0000-0000CB180000}"/>
    <cellStyle name="Normal 5 2 3 7 3 2" xfId="15362" xr:uid="{675651A1-5929-469B-A740-D1CF538ABC58}"/>
    <cellStyle name="Normal 5 2 3 7 3 3" xfId="23809" xr:uid="{AD639115-9FEA-4B5D-AD07-3740084A809B}"/>
    <cellStyle name="Normal 5 2 3 7 4" xfId="11145" xr:uid="{23229265-B073-44AE-952D-39EC3687E50F}"/>
    <cellStyle name="Normal 5 2 3 7 5" xfId="19592" xr:uid="{BC4849C9-61B8-4655-AB27-1603FF87C1E7}"/>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AD276ACF-2EB6-4FBA-A321-E781549B304C}"/>
    <cellStyle name="Normal 5 2 3 8 2 2 3" xfId="26367" xr:uid="{DB2B06B0-CF58-45CC-A848-E828163F0584}"/>
    <cellStyle name="Normal 5 2 3 8 2 3" xfId="13703" xr:uid="{0CE5E8D3-EAA1-4CCA-9FB2-E2C5E1ACFD94}"/>
    <cellStyle name="Normal 5 2 3 8 2 4" xfId="22150" xr:uid="{53B6F357-0FB1-4653-AC91-C0A2F29F6B00}"/>
    <cellStyle name="Normal 5 2 3 8 3" xfId="6449" xr:uid="{00000000-0005-0000-0000-0000CF180000}"/>
    <cellStyle name="Normal 5 2 3 8 3 2" xfId="15775" xr:uid="{A9C7FA54-6118-4892-95AC-74F4CE894E55}"/>
    <cellStyle name="Normal 5 2 3 8 3 3" xfId="24222" xr:uid="{F856A068-74F8-488B-97B7-96F941164107}"/>
    <cellStyle name="Normal 5 2 3 8 4" xfId="11558" xr:uid="{925449DA-255D-4016-9615-6A2AFF692CB9}"/>
    <cellStyle name="Normal 5 2 3 8 5" xfId="20005" xr:uid="{F9D666A7-2338-438B-AF3E-1BC3642B6CC3}"/>
    <cellStyle name="Normal 5 2 3 9" xfId="2579" xr:uid="{00000000-0005-0000-0000-0000D0180000}"/>
    <cellStyle name="Normal 5 2 3 9 2" xfId="6862" xr:uid="{00000000-0005-0000-0000-0000D1180000}"/>
    <cellStyle name="Normal 5 2 3 9 2 2" xfId="16188" xr:uid="{76E58285-F50B-4944-B9A8-C9242231D5AC}"/>
    <cellStyle name="Normal 5 2 3 9 2 3" xfId="24635" xr:uid="{FE4A05F0-3757-453A-8E21-1AF971B361D8}"/>
    <cellStyle name="Normal 5 2 3 9 3" xfId="11971" xr:uid="{4F2A996B-701D-4031-9353-43C3CD1FA8E1}"/>
    <cellStyle name="Normal 5 2 3 9 4" xfId="20418" xr:uid="{7FC975D1-90D8-4203-83E9-900E1F3F9A66}"/>
    <cellStyle name="Normal 5 2 4" xfId="432" xr:uid="{00000000-0005-0000-0000-0000D2180000}"/>
    <cellStyle name="Normal 5 2 4 10" xfId="8827" xr:uid="{1EC4F605-F0BA-487E-A3C0-2CBAE7C22D8A}"/>
    <cellStyle name="Normal 5 2 4 11" xfId="9914" xr:uid="{90EF8497-A23D-4B8D-A4AD-B55B6AC101BA}"/>
    <cellStyle name="Normal 5 2 4 12" xfId="18361" xr:uid="{54BC68DF-9AA8-4023-9F6C-74F03A767EC6}"/>
    <cellStyle name="Normal 5 2 4 2" xfId="433" xr:uid="{00000000-0005-0000-0000-0000D3180000}"/>
    <cellStyle name="Normal 5 2 4 2 10" xfId="9915" xr:uid="{074F3F8A-94B7-45D6-9ECE-C6FBD609BA47}"/>
    <cellStyle name="Normal 5 2 4 2 11" xfId="18362" xr:uid="{806C715A-12B9-432C-913F-D35A56E6DDEC}"/>
    <cellStyle name="Normal 5 2 4 2 2" xfId="434" xr:uid="{00000000-0005-0000-0000-0000D4180000}"/>
    <cellStyle name="Normal 5 2 4 2 2 10" xfId="18363" xr:uid="{BC51F20E-D4D9-4164-A01C-F2768A7D9F6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4B248555-2924-4018-9011-AA9F48770BD3}"/>
    <cellStyle name="Normal 5 2 4 2 2 2 2 2 3" xfId="25138" xr:uid="{2164297E-FE68-4EF5-84D7-A7AB6C8A5675}"/>
    <cellStyle name="Normal 5 2 4 2 2 2 2 3" xfId="12474" xr:uid="{E0AA1654-F158-46DE-BF1C-B8D0F85DC7F4}"/>
    <cellStyle name="Normal 5 2 4 2 2 2 2 4" xfId="20921" xr:uid="{1A50506B-128F-4573-9E8D-D2AB42DC4FEE}"/>
    <cellStyle name="Normal 5 2 4 2 2 2 3" xfId="5220" xr:uid="{00000000-0005-0000-0000-0000D8180000}"/>
    <cellStyle name="Normal 5 2 4 2 2 2 3 2" xfId="14546" xr:uid="{A157FCFA-D68D-4B39-9688-673A2032FC43}"/>
    <cellStyle name="Normal 5 2 4 2 2 2 3 3" xfId="22993" xr:uid="{8FE442A7-F3DC-426C-9DD8-5AC28003C0EF}"/>
    <cellStyle name="Normal 5 2 4 2 2 2 4" xfId="9562" xr:uid="{5E243FB4-F3B1-4B34-B377-1444454AD19E}"/>
    <cellStyle name="Normal 5 2 4 2 2 2 5" xfId="10329" xr:uid="{9AE670E2-170B-4FA3-A164-91E033D5F466}"/>
    <cellStyle name="Normal 5 2 4 2 2 2 6" xfId="18776" xr:uid="{AD6BB0EA-6EDC-4435-A7B4-097FAE490A63}"/>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65B9551B-A62F-4E00-A409-03B9202C70B6}"/>
    <cellStyle name="Normal 5 2 4 2 2 3 2 2 3" xfId="25551" xr:uid="{414DAC53-5290-4BB7-9A2F-04CF6FA2BFCA}"/>
    <cellStyle name="Normal 5 2 4 2 2 3 2 3" xfId="12887" xr:uid="{48C93B97-2E06-4AC9-B9D8-B6DF7908E019}"/>
    <cellStyle name="Normal 5 2 4 2 2 3 2 4" xfId="21334" xr:uid="{0092EB68-22A6-4886-8590-EAFF1ACB4C4B}"/>
    <cellStyle name="Normal 5 2 4 2 2 3 3" xfId="5633" xr:uid="{00000000-0005-0000-0000-0000DC180000}"/>
    <cellStyle name="Normal 5 2 4 2 2 3 3 2" xfId="14959" xr:uid="{DC4E3C2D-BE4C-4547-8750-97E5241E1B27}"/>
    <cellStyle name="Normal 5 2 4 2 2 3 3 3" xfId="23406" xr:uid="{13330F26-CF8D-4FE4-B6F1-C57529DA567E}"/>
    <cellStyle name="Normal 5 2 4 2 2 3 4" xfId="10742" xr:uid="{152F2494-D948-4D0B-B074-C611A9668A4C}"/>
    <cellStyle name="Normal 5 2 4 2 2 3 5" xfId="19189" xr:uid="{F6527A1A-CD79-48A1-836A-584327600DAF}"/>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4CA4EB4B-70E6-4382-988D-C98C359D2C37}"/>
    <cellStyle name="Normal 5 2 4 2 2 4 2 2 3" xfId="25964" xr:uid="{8B87A490-04BA-4BF7-96BB-CDD601227364}"/>
    <cellStyle name="Normal 5 2 4 2 2 4 2 3" xfId="13300" xr:uid="{2118C88A-8FEA-48DD-953F-B305CFE09FE2}"/>
    <cellStyle name="Normal 5 2 4 2 2 4 2 4" xfId="21747" xr:uid="{D8C70EA6-568B-41ED-AF9F-538E4EDF11DA}"/>
    <cellStyle name="Normal 5 2 4 2 2 4 3" xfId="6046" xr:uid="{00000000-0005-0000-0000-0000E0180000}"/>
    <cellStyle name="Normal 5 2 4 2 2 4 3 2" xfId="15372" xr:uid="{A346B3D8-FD98-42D2-90C9-8DBAE4D9FF93}"/>
    <cellStyle name="Normal 5 2 4 2 2 4 3 3" xfId="23819" xr:uid="{E2B96FCB-9E31-4E80-9F16-F16E2B2F1A8B}"/>
    <cellStyle name="Normal 5 2 4 2 2 4 4" xfId="11155" xr:uid="{B28BFDFC-098A-4306-96B3-E0606D048526}"/>
    <cellStyle name="Normal 5 2 4 2 2 4 5" xfId="19602" xr:uid="{54360229-CDA4-423B-8BDE-DFAED8B52885}"/>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10366F50-FA52-4273-B67F-6F5D49864F10}"/>
    <cellStyle name="Normal 5 2 4 2 2 5 2 2 3" xfId="26377" xr:uid="{D3D691C2-9FD6-4A7C-83A2-0C1291F9CB50}"/>
    <cellStyle name="Normal 5 2 4 2 2 5 2 3" xfId="13713" xr:uid="{0DCAAFA5-532F-4D18-9DDC-BC1E82E1F66F}"/>
    <cellStyle name="Normal 5 2 4 2 2 5 2 4" xfId="22160" xr:uid="{9F124189-76DD-4C36-9300-20ED67A6FA49}"/>
    <cellStyle name="Normal 5 2 4 2 2 5 3" xfId="6459" xr:uid="{00000000-0005-0000-0000-0000E4180000}"/>
    <cellStyle name="Normal 5 2 4 2 2 5 3 2" xfId="15785" xr:uid="{89460B2F-121C-4D1C-B30A-5B811698B99F}"/>
    <cellStyle name="Normal 5 2 4 2 2 5 3 3" xfId="24232" xr:uid="{74E6F3BA-504B-42D0-8D3E-CEC9ABF7095F}"/>
    <cellStyle name="Normal 5 2 4 2 2 5 4" xfId="11568" xr:uid="{7CBF0720-FAC7-4D5A-AFD1-D6C0619BAD44}"/>
    <cellStyle name="Normal 5 2 4 2 2 5 5" xfId="20015" xr:uid="{74D043EE-FF27-4946-86FD-219D69797088}"/>
    <cellStyle name="Normal 5 2 4 2 2 6" xfId="2589" xr:uid="{00000000-0005-0000-0000-0000E5180000}"/>
    <cellStyle name="Normal 5 2 4 2 2 6 2" xfId="6872" xr:uid="{00000000-0005-0000-0000-0000E6180000}"/>
    <cellStyle name="Normal 5 2 4 2 2 6 2 2" xfId="16198" xr:uid="{A5181B24-DBB6-4E6E-B9D2-5EA5063E4B21}"/>
    <cellStyle name="Normal 5 2 4 2 2 6 2 3" xfId="24645" xr:uid="{8569521B-3AC8-4A93-A187-B8B4D63AC6F0}"/>
    <cellStyle name="Normal 5 2 4 2 2 6 3" xfId="11981" xr:uid="{0299EF4A-4503-4A5E-9A34-0ABDCA17CF9C}"/>
    <cellStyle name="Normal 5 2 4 2 2 6 4" xfId="20428" xr:uid="{12B40AA3-1CA2-4AB9-AC27-2C29C3F4D913}"/>
    <cellStyle name="Normal 5 2 4 2 2 7" xfId="4807" xr:uid="{00000000-0005-0000-0000-0000E7180000}"/>
    <cellStyle name="Normal 5 2 4 2 2 7 2" xfId="14133" xr:uid="{AA52A77B-4D76-4FAD-9D82-51CE390626DC}"/>
    <cellStyle name="Normal 5 2 4 2 2 7 3" xfId="22580" xr:uid="{8D59265A-167A-48E5-833F-D3C04948AD0F}"/>
    <cellStyle name="Normal 5 2 4 2 2 8" xfId="9137" xr:uid="{C80E4B27-40CA-4953-ABB8-99E2C575F775}"/>
    <cellStyle name="Normal 5 2 4 2 2 9" xfId="9916" xr:uid="{A50FC086-7955-4AA4-A9D0-F5420CCA2AB0}"/>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630EF583-8A1B-4441-BE6C-86A79D14D24A}"/>
    <cellStyle name="Normal 5 2 4 2 3 2 2 3" xfId="25137" xr:uid="{54BFE0D9-E3DA-498C-BE7C-249C1178CC81}"/>
    <cellStyle name="Normal 5 2 4 2 3 2 3" xfId="12473" xr:uid="{6D7A28F2-124A-4021-AD96-22F5597954D7}"/>
    <cellStyle name="Normal 5 2 4 2 3 2 4" xfId="20920" xr:uid="{9371D16D-56F0-47EC-BD9C-8AB9EC578532}"/>
    <cellStyle name="Normal 5 2 4 2 3 3" xfId="5219" xr:uid="{00000000-0005-0000-0000-0000EB180000}"/>
    <cellStyle name="Normal 5 2 4 2 3 3 2" xfId="14545" xr:uid="{CDC659DE-439C-43C9-830F-B75088A5272A}"/>
    <cellStyle name="Normal 5 2 4 2 3 3 3" xfId="22992" xr:uid="{CA3DB4FD-BF82-4280-B0E5-EAB0B81BED63}"/>
    <cellStyle name="Normal 5 2 4 2 3 4" xfId="9355" xr:uid="{9D38A6AA-2F63-4275-9FB8-F86A15F6A4D3}"/>
    <cellStyle name="Normal 5 2 4 2 3 5" xfId="10328" xr:uid="{DCB6EE84-F740-4010-9492-F871A3C65BBC}"/>
    <cellStyle name="Normal 5 2 4 2 3 6" xfId="18775" xr:uid="{0078227D-DC8B-498D-A6B7-BF59E7A98ED7}"/>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56DAE120-50B6-4515-B9F0-3CF5F7FBB44A}"/>
    <cellStyle name="Normal 5 2 4 2 4 2 2 3" xfId="25550" xr:uid="{DA71805E-2A54-4068-96FD-AED9C6A7A0B5}"/>
    <cellStyle name="Normal 5 2 4 2 4 2 3" xfId="12886" xr:uid="{2AF8C49D-9018-4D78-A8DB-0C9426812A2A}"/>
    <cellStyle name="Normal 5 2 4 2 4 2 4" xfId="21333" xr:uid="{68B6E87E-5295-4E36-8C38-BFBBD5015D8B}"/>
    <cellStyle name="Normal 5 2 4 2 4 3" xfId="5632" xr:uid="{00000000-0005-0000-0000-0000EF180000}"/>
    <cellStyle name="Normal 5 2 4 2 4 3 2" xfId="14958" xr:uid="{0000E5A0-7DAD-4C7B-948D-5C4584283C19}"/>
    <cellStyle name="Normal 5 2 4 2 4 3 3" xfId="23405" xr:uid="{BAD6C9E6-E86C-4183-A34A-22F4AA6B7C91}"/>
    <cellStyle name="Normal 5 2 4 2 4 4" xfId="10741" xr:uid="{01962AF5-499C-44D6-A02E-3A0ED82F152A}"/>
    <cellStyle name="Normal 5 2 4 2 4 5" xfId="19188" xr:uid="{DB42D72E-C3F4-43D5-AD03-F524E4BA71AE}"/>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E1C5EE2D-CAD2-4B8F-97B4-93E51B338BBF}"/>
    <cellStyle name="Normal 5 2 4 2 5 2 2 3" xfId="25963" xr:uid="{DAF83759-5B05-46B3-936D-E1A310E4C8F1}"/>
    <cellStyle name="Normal 5 2 4 2 5 2 3" xfId="13299" xr:uid="{48952C74-37F9-4EA1-A71A-9B2575A40094}"/>
    <cellStyle name="Normal 5 2 4 2 5 2 4" xfId="21746" xr:uid="{CE8E73EB-1083-4419-96B1-2212358D26DE}"/>
    <cellStyle name="Normal 5 2 4 2 5 3" xfId="6045" xr:uid="{00000000-0005-0000-0000-0000F3180000}"/>
    <cellStyle name="Normal 5 2 4 2 5 3 2" xfId="15371" xr:uid="{31D4D888-3A40-461E-8E6B-3340AB2926B8}"/>
    <cellStyle name="Normal 5 2 4 2 5 3 3" xfId="23818" xr:uid="{35EBA4EE-418B-470D-8BD6-49A62302F3ED}"/>
    <cellStyle name="Normal 5 2 4 2 5 4" xfId="11154" xr:uid="{24E8DD17-76FD-4282-988A-275613DE3F0B}"/>
    <cellStyle name="Normal 5 2 4 2 5 5" xfId="19601" xr:uid="{717A46EB-D025-4076-B5C2-E99B4C10124D}"/>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69DBA981-D3EC-4B27-9690-F24B49D44E8D}"/>
    <cellStyle name="Normal 5 2 4 2 6 2 2 3" xfId="26376" xr:uid="{B94FB6E8-766D-4A1C-AAAC-EB688FDEAD7D}"/>
    <cellStyle name="Normal 5 2 4 2 6 2 3" xfId="13712" xr:uid="{9198E571-52A3-4141-B9AA-F5BF93311FF1}"/>
    <cellStyle name="Normal 5 2 4 2 6 2 4" xfId="22159" xr:uid="{B02A004F-437B-49B4-BA3E-448C0F5F4354}"/>
    <cellStyle name="Normal 5 2 4 2 6 3" xfId="6458" xr:uid="{00000000-0005-0000-0000-0000F7180000}"/>
    <cellStyle name="Normal 5 2 4 2 6 3 2" xfId="15784" xr:uid="{863F83DF-1F07-49BE-A290-0780C34874FD}"/>
    <cellStyle name="Normal 5 2 4 2 6 3 3" xfId="24231" xr:uid="{B6111247-1004-4E4A-83FA-C9E6C827C44B}"/>
    <cellStyle name="Normal 5 2 4 2 6 4" xfId="11567" xr:uid="{3183923D-A744-4222-A911-04ABE12ECF1E}"/>
    <cellStyle name="Normal 5 2 4 2 6 5" xfId="20014" xr:uid="{0B982C45-F1E7-4E5F-AF20-BA2AF5FE9C16}"/>
    <cellStyle name="Normal 5 2 4 2 7" xfId="2588" xr:uid="{00000000-0005-0000-0000-0000F8180000}"/>
    <cellStyle name="Normal 5 2 4 2 7 2" xfId="6871" xr:uid="{00000000-0005-0000-0000-0000F9180000}"/>
    <cellStyle name="Normal 5 2 4 2 7 2 2" xfId="16197" xr:uid="{D72E8A26-8CDD-418A-B325-51BD2B7BB946}"/>
    <cellStyle name="Normal 5 2 4 2 7 2 3" xfId="24644" xr:uid="{DE568F7A-EDE0-4126-8ACD-9D349D05D988}"/>
    <cellStyle name="Normal 5 2 4 2 7 3" xfId="11980" xr:uid="{B2E663D9-A851-4982-8F61-D8814C17E32E}"/>
    <cellStyle name="Normal 5 2 4 2 7 4" xfId="20427" xr:uid="{B7D7A40A-8C6C-40E9-8445-2CD8D953A7D3}"/>
    <cellStyle name="Normal 5 2 4 2 8" xfId="4806" xr:uid="{00000000-0005-0000-0000-0000FA180000}"/>
    <cellStyle name="Normal 5 2 4 2 8 2" xfId="14132" xr:uid="{31620C85-5E3B-4F2A-B6FD-A01B8F21F0B8}"/>
    <cellStyle name="Normal 5 2 4 2 8 3" xfId="22579" xr:uid="{407A7557-5DAD-49CC-BCDE-CADC0058BF50}"/>
    <cellStyle name="Normal 5 2 4 2 9" xfId="8930" xr:uid="{66B84ABA-CAF3-4BBE-9026-E7A47CB6006F}"/>
    <cellStyle name="Normal 5 2 4 3" xfId="435" xr:uid="{00000000-0005-0000-0000-0000FB180000}"/>
    <cellStyle name="Normal 5 2 4 3 10" xfId="18364" xr:uid="{00B192E7-B86A-4E21-9825-B0919BC57C1A}"/>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BFEDC413-2E80-4BB5-8F65-ED3E6B9648C0}"/>
    <cellStyle name="Normal 5 2 4 3 2 2 2 3" xfId="25139" xr:uid="{72842A89-E320-4A3B-885C-C0708C146C6C}"/>
    <cellStyle name="Normal 5 2 4 3 2 2 3" xfId="12475" xr:uid="{51F90B1B-4502-43B5-88F8-3D80466A2CAF}"/>
    <cellStyle name="Normal 5 2 4 3 2 2 4" xfId="20922" xr:uid="{E3F54E4B-7B44-4141-B63C-063830AFB821}"/>
    <cellStyle name="Normal 5 2 4 3 2 3" xfId="5221" xr:uid="{00000000-0005-0000-0000-0000FF180000}"/>
    <cellStyle name="Normal 5 2 4 3 2 3 2" xfId="14547" xr:uid="{4F8A83A8-2D2A-4046-8D79-BEA52209D504}"/>
    <cellStyle name="Normal 5 2 4 3 2 3 3" xfId="22994" xr:uid="{1F359FC7-77CF-478C-9AFC-79123872F159}"/>
    <cellStyle name="Normal 5 2 4 3 2 4" xfId="9459" xr:uid="{ED2A936E-5624-4B26-A175-3FCE68E1BF5A}"/>
    <cellStyle name="Normal 5 2 4 3 2 5" xfId="10330" xr:uid="{7A466857-1C3F-4600-BE91-61F14B991DBD}"/>
    <cellStyle name="Normal 5 2 4 3 2 6" xfId="18777" xr:uid="{55B1BCB3-617D-409C-8D90-D120B5FA1A21}"/>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5ADB4AAD-B997-4782-8A22-A7CE4A3AEAD8}"/>
    <cellStyle name="Normal 5 2 4 3 3 2 2 3" xfId="25552" xr:uid="{81DCEABB-A604-44F2-8BDC-6D6720D5A23A}"/>
    <cellStyle name="Normal 5 2 4 3 3 2 3" xfId="12888" xr:uid="{21A921C8-B289-480F-AE6C-99CA44B197C3}"/>
    <cellStyle name="Normal 5 2 4 3 3 2 4" xfId="21335" xr:uid="{140418D8-D139-482B-B010-0D201780FA7D}"/>
    <cellStyle name="Normal 5 2 4 3 3 3" xfId="5634" xr:uid="{00000000-0005-0000-0000-000003190000}"/>
    <cellStyle name="Normal 5 2 4 3 3 3 2" xfId="14960" xr:uid="{C48F192E-5C94-4207-ABE4-527BDC9C5833}"/>
    <cellStyle name="Normal 5 2 4 3 3 3 3" xfId="23407" xr:uid="{9D1AD0C5-7C02-4101-9C3C-3C43AE9BBB02}"/>
    <cellStyle name="Normal 5 2 4 3 3 4" xfId="10743" xr:uid="{4D427434-F15D-44EE-BA26-ED44181B3EE1}"/>
    <cellStyle name="Normal 5 2 4 3 3 5" xfId="19190" xr:uid="{812C8D01-66DC-4576-8A7B-84E33895D403}"/>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4FACBE7A-1FB8-4E19-B6F5-AD1870B93611}"/>
    <cellStyle name="Normal 5 2 4 3 4 2 2 3" xfId="25965" xr:uid="{921C5996-795A-4D65-AAB6-8C923931A59F}"/>
    <cellStyle name="Normal 5 2 4 3 4 2 3" xfId="13301" xr:uid="{D147FF07-BBF7-4D1F-8802-C6952F1F3C63}"/>
    <cellStyle name="Normal 5 2 4 3 4 2 4" xfId="21748" xr:uid="{278FA9D1-41AA-4AE7-B74D-AE34D4FE0902}"/>
    <cellStyle name="Normal 5 2 4 3 4 3" xfId="6047" xr:uid="{00000000-0005-0000-0000-000007190000}"/>
    <cellStyle name="Normal 5 2 4 3 4 3 2" xfId="15373" xr:uid="{121382D1-E2D7-447C-9E8D-AECE9F717AB6}"/>
    <cellStyle name="Normal 5 2 4 3 4 3 3" xfId="23820" xr:uid="{654ADCA8-C555-4BB5-AD11-777174D31A84}"/>
    <cellStyle name="Normal 5 2 4 3 4 4" xfId="11156" xr:uid="{6B52C1EA-A747-4721-BA35-7B9C29710357}"/>
    <cellStyle name="Normal 5 2 4 3 4 5" xfId="19603" xr:uid="{3C2B144D-54D1-4A0F-9209-2662749DEC44}"/>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544EEEF5-8B2D-4759-956A-0A82464AA01F}"/>
    <cellStyle name="Normal 5 2 4 3 5 2 2 3" xfId="26378" xr:uid="{DF73C5BB-9911-4272-AAB1-16FE44D6BF2E}"/>
    <cellStyle name="Normal 5 2 4 3 5 2 3" xfId="13714" xr:uid="{0E716F3D-27F7-4527-8467-B7EFCD3B9AF5}"/>
    <cellStyle name="Normal 5 2 4 3 5 2 4" xfId="22161" xr:uid="{11E4D25F-8C00-41A3-BB2A-60A3B83AA409}"/>
    <cellStyle name="Normal 5 2 4 3 5 3" xfId="6460" xr:uid="{00000000-0005-0000-0000-00000B190000}"/>
    <cellStyle name="Normal 5 2 4 3 5 3 2" xfId="15786" xr:uid="{07B3839A-8D18-4CCA-9E8B-4032E353E7AA}"/>
    <cellStyle name="Normal 5 2 4 3 5 3 3" xfId="24233" xr:uid="{EC513257-78AF-4962-8EE8-B4AEE17BACC5}"/>
    <cellStyle name="Normal 5 2 4 3 5 4" xfId="11569" xr:uid="{AA6FF142-B0C2-42F6-853A-32F04F2B429C}"/>
    <cellStyle name="Normal 5 2 4 3 5 5" xfId="20016" xr:uid="{A3E436A3-B2BB-4971-A0A8-49DBA4C1379D}"/>
    <cellStyle name="Normal 5 2 4 3 6" xfId="2590" xr:uid="{00000000-0005-0000-0000-00000C190000}"/>
    <cellStyle name="Normal 5 2 4 3 6 2" xfId="6873" xr:uid="{00000000-0005-0000-0000-00000D190000}"/>
    <cellStyle name="Normal 5 2 4 3 6 2 2" xfId="16199" xr:uid="{DC7857D5-CF64-417E-9966-20680F0EB6D2}"/>
    <cellStyle name="Normal 5 2 4 3 6 2 3" xfId="24646" xr:uid="{5E2A96F9-C825-4692-ABC3-B4E1B77D4510}"/>
    <cellStyle name="Normal 5 2 4 3 6 3" xfId="11982" xr:uid="{9106159A-2F27-489F-A599-58F689E07441}"/>
    <cellStyle name="Normal 5 2 4 3 6 4" xfId="20429" xr:uid="{A0EF9C3F-46BD-4601-AB52-871948B6B683}"/>
    <cellStyle name="Normal 5 2 4 3 7" xfId="4808" xr:uid="{00000000-0005-0000-0000-00000E190000}"/>
    <cellStyle name="Normal 5 2 4 3 7 2" xfId="14134" xr:uid="{CE542B65-EAED-4D3F-AC93-3C8C120E7E27}"/>
    <cellStyle name="Normal 5 2 4 3 7 3" xfId="22581" xr:uid="{4E8A26C6-0E05-4ECC-9CFF-372493DE0197}"/>
    <cellStyle name="Normal 5 2 4 3 8" xfId="9034" xr:uid="{82D3DE5B-E868-4CF9-BA07-6E197DA4FAA5}"/>
    <cellStyle name="Normal 5 2 4 3 9" xfId="9917" xr:uid="{43E67F29-79C2-4F2A-9FA5-5926D96CC976}"/>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95059295-DC97-410E-ACB3-43B0EF70C161}"/>
    <cellStyle name="Normal 5 2 4 4 2 2 3" xfId="25136" xr:uid="{7444E4A6-65A7-405E-B3D8-5152271B922F}"/>
    <cellStyle name="Normal 5 2 4 4 2 3" xfId="12472" xr:uid="{21689B45-5955-4A4D-A707-D9668DCADAF7}"/>
    <cellStyle name="Normal 5 2 4 4 2 4" xfId="20919" xr:uid="{4746821C-3682-4423-98C5-45347B112788}"/>
    <cellStyle name="Normal 5 2 4 4 3" xfId="5218" xr:uid="{00000000-0005-0000-0000-000012190000}"/>
    <cellStyle name="Normal 5 2 4 4 3 2" xfId="14544" xr:uid="{B5F87DAA-36D7-4979-834B-D24D348D8D37}"/>
    <cellStyle name="Normal 5 2 4 4 3 3" xfId="22991" xr:uid="{59936CD7-04EB-4FDA-B28E-4E19E1CEC794}"/>
    <cellStyle name="Normal 5 2 4 4 4" xfId="9252" xr:uid="{1D1A8EC4-7286-46A1-B40C-E987F273E760}"/>
    <cellStyle name="Normal 5 2 4 4 5" xfId="10327" xr:uid="{DE04BB52-67D4-482C-804D-D0F42FE2D7AE}"/>
    <cellStyle name="Normal 5 2 4 4 6" xfId="18774" xr:uid="{1F8DDC33-AE50-4D61-95F2-5FB421E86017}"/>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551C833A-3C13-493A-B717-B2BA305510D4}"/>
    <cellStyle name="Normal 5 2 4 5 2 2 3" xfId="25549" xr:uid="{EF88D8C8-E6C5-4A26-B44D-A3F29DA3E53F}"/>
    <cellStyle name="Normal 5 2 4 5 2 3" xfId="12885" xr:uid="{E167E879-036A-4519-849C-364B1BBD633A}"/>
    <cellStyle name="Normal 5 2 4 5 2 4" xfId="21332" xr:uid="{04E1D1A4-8649-4FF0-9973-F505C2EE50ED}"/>
    <cellStyle name="Normal 5 2 4 5 3" xfId="5631" xr:uid="{00000000-0005-0000-0000-000016190000}"/>
    <cellStyle name="Normal 5 2 4 5 3 2" xfId="14957" xr:uid="{553EB209-22C9-416F-B776-17253EECDCB5}"/>
    <cellStyle name="Normal 5 2 4 5 3 3" xfId="23404" xr:uid="{10EA5C13-30AE-4E68-9BE6-5DCE9B3027C8}"/>
    <cellStyle name="Normal 5 2 4 5 4" xfId="10740" xr:uid="{7160FA3A-0EE4-48C9-9E18-FD51F9A87A88}"/>
    <cellStyle name="Normal 5 2 4 5 5" xfId="19187" xr:uid="{E4B3BB28-F5E9-482E-AA88-AB3A983BAC2B}"/>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A7FE4C4A-F7C3-4ADD-B8EE-97496C1EA9EE}"/>
    <cellStyle name="Normal 5 2 4 6 2 2 3" xfId="25962" xr:uid="{DEC70BE7-BA0F-44AB-AF5A-EF2483CDE0A3}"/>
    <cellStyle name="Normal 5 2 4 6 2 3" xfId="13298" xr:uid="{9BE7FF7D-5485-4A96-9B4E-53A1DEAE7958}"/>
    <cellStyle name="Normal 5 2 4 6 2 4" xfId="21745" xr:uid="{1D99B2F0-0529-473A-9520-0F2CBC357730}"/>
    <cellStyle name="Normal 5 2 4 6 3" xfId="6044" xr:uid="{00000000-0005-0000-0000-00001A190000}"/>
    <cellStyle name="Normal 5 2 4 6 3 2" xfId="15370" xr:uid="{87396398-04A5-463B-A884-6ED0A2D3262B}"/>
    <cellStyle name="Normal 5 2 4 6 3 3" xfId="23817" xr:uid="{9376619E-C409-4CB9-9290-E8D3374C6B86}"/>
    <cellStyle name="Normal 5 2 4 6 4" xfId="11153" xr:uid="{F902DC07-80B6-4B1D-9A1A-29301C36F7B3}"/>
    <cellStyle name="Normal 5 2 4 6 5" xfId="19600" xr:uid="{14F66859-E7FB-4A12-96C9-E380CB988611}"/>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8502E0C1-EDCF-4769-BC89-D18C48E02486}"/>
    <cellStyle name="Normal 5 2 4 7 2 2 3" xfId="26375" xr:uid="{3212560D-B3D6-41D0-AD0F-873804B8AED7}"/>
    <cellStyle name="Normal 5 2 4 7 2 3" xfId="13711" xr:uid="{CE2CCD77-6AA0-4C47-BFF2-3EC61C552AB1}"/>
    <cellStyle name="Normal 5 2 4 7 2 4" xfId="22158" xr:uid="{4633ACFD-1292-418B-A0AD-7CFD53D54217}"/>
    <cellStyle name="Normal 5 2 4 7 3" xfId="6457" xr:uid="{00000000-0005-0000-0000-00001E190000}"/>
    <cellStyle name="Normal 5 2 4 7 3 2" xfId="15783" xr:uid="{DAD2D357-EB1C-4298-B326-1B3EBB799753}"/>
    <cellStyle name="Normal 5 2 4 7 3 3" xfId="24230" xr:uid="{EDA1B83B-44B3-4A55-9DCD-F0CE8E1CC87A}"/>
    <cellStyle name="Normal 5 2 4 7 4" xfId="11566" xr:uid="{AF86BDB3-C116-4682-952B-2116F16D2838}"/>
    <cellStyle name="Normal 5 2 4 7 5" xfId="20013" xr:uid="{A567A985-39DC-4D80-994A-7DCF7101A1A4}"/>
    <cellStyle name="Normal 5 2 4 8" xfId="2587" xr:uid="{00000000-0005-0000-0000-00001F190000}"/>
    <cellStyle name="Normal 5 2 4 8 2" xfId="6870" xr:uid="{00000000-0005-0000-0000-000020190000}"/>
    <cellStyle name="Normal 5 2 4 8 2 2" xfId="16196" xr:uid="{72FDE01F-B17D-412D-8918-6C7970604B72}"/>
    <cellStyle name="Normal 5 2 4 8 2 3" xfId="24643" xr:uid="{F3DC712F-DE38-4862-9EF2-76E335924D07}"/>
    <cellStyle name="Normal 5 2 4 8 3" xfId="11979" xr:uid="{D12C4D71-5C2B-4902-B8BB-34C5B70AC145}"/>
    <cellStyle name="Normal 5 2 4 8 4" xfId="20426" xr:uid="{C3320746-3C46-4A35-A86F-50DD488C180F}"/>
    <cellStyle name="Normal 5 2 4 9" xfId="4805" xr:uid="{00000000-0005-0000-0000-000021190000}"/>
    <cellStyle name="Normal 5 2 4 9 2" xfId="14131" xr:uid="{5B4BD577-506D-4555-A10C-CB00FBFFBC6F}"/>
    <cellStyle name="Normal 5 2 4 9 3" xfId="22578" xr:uid="{5512EB56-C466-4E52-B04F-7C8F09D16EEB}"/>
    <cellStyle name="Normal 5 2 5" xfId="436" xr:uid="{00000000-0005-0000-0000-000022190000}"/>
    <cellStyle name="Normal 5 2 5 10" xfId="9918" xr:uid="{F0059920-306F-45EF-901C-94659A39AEAB}"/>
    <cellStyle name="Normal 5 2 5 11" xfId="18365" xr:uid="{46E81E1B-FD01-488B-A3A3-B661B94CB6E4}"/>
    <cellStyle name="Normal 5 2 5 2" xfId="437" xr:uid="{00000000-0005-0000-0000-000023190000}"/>
    <cellStyle name="Normal 5 2 5 2 10" xfId="18366" xr:uid="{C7DA73B1-862B-4D7A-A275-AEF79D78B99E}"/>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2C56D87A-74B9-4D29-8FF3-AC0FAE17C8F5}"/>
    <cellStyle name="Normal 5 2 5 2 2 2 2 3" xfId="25141" xr:uid="{60377F85-F47A-4E0E-877B-2B71B9BA14B2}"/>
    <cellStyle name="Normal 5 2 5 2 2 2 3" xfId="12477" xr:uid="{9BDEB904-01C4-4891-85E6-5862B730FD07}"/>
    <cellStyle name="Normal 5 2 5 2 2 2 4" xfId="20924" xr:uid="{42922FC6-12EC-4F62-89FE-C16850AF88D6}"/>
    <cellStyle name="Normal 5 2 5 2 2 3" xfId="5223" xr:uid="{00000000-0005-0000-0000-000027190000}"/>
    <cellStyle name="Normal 5 2 5 2 2 3 2" xfId="14549" xr:uid="{DE0F1C14-4BFA-48A1-90CF-0007C2665A34}"/>
    <cellStyle name="Normal 5 2 5 2 2 3 3" xfId="22996" xr:uid="{341A7904-089E-4852-B658-011FBF04B6EA}"/>
    <cellStyle name="Normal 5 2 5 2 2 4" xfId="9479" xr:uid="{0DDFFFD4-5D62-4038-B6D4-9E9BD7CBA380}"/>
    <cellStyle name="Normal 5 2 5 2 2 5" xfId="10332" xr:uid="{D03D39CE-4C77-4DE5-9484-A28F2445B093}"/>
    <cellStyle name="Normal 5 2 5 2 2 6" xfId="18779" xr:uid="{A76E286E-45D9-4919-B3B9-7F9E38A7D17B}"/>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8DCFFFA8-7DBA-42CB-89D4-54E927ADEFE9}"/>
    <cellStyle name="Normal 5 2 5 2 3 2 2 3" xfId="25554" xr:uid="{67682270-E362-41A1-B1E6-60063E0F6673}"/>
    <cellStyle name="Normal 5 2 5 2 3 2 3" xfId="12890" xr:uid="{5D216B9A-210A-4B37-8B8B-EFDF8BE821E4}"/>
    <cellStyle name="Normal 5 2 5 2 3 2 4" xfId="21337" xr:uid="{40519B7C-7DC5-410B-BA83-C952FFC97A01}"/>
    <cellStyle name="Normal 5 2 5 2 3 3" xfId="5636" xr:uid="{00000000-0005-0000-0000-00002B190000}"/>
    <cellStyle name="Normal 5 2 5 2 3 3 2" xfId="14962" xr:uid="{BE19E150-1BA7-4DC1-8D4F-02C6B941DF52}"/>
    <cellStyle name="Normal 5 2 5 2 3 3 3" xfId="23409" xr:uid="{25D2CF2B-A3DC-444E-8F66-98D77FB50119}"/>
    <cellStyle name="Normal 5 2 5 2 3 4" xfId="10745" xr:uid="{76074DC8-FD59-47F5-BF9C-93A438C1FF90}"/>
    <cellStyle name="Normal 5 2 5 2 3 5" xfId="19192" xr:uid="{E677A2A7-EDA5-4C73-BA0B-5A7AC447BCCD}"/>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A62A7847-22CB-46F4-8E19-97FBAA35205B}"/>
    <cellStyle name="Normal 5 2 5 2 4 2 2 3" xfId="25967" xr:uid="{09BEB80D-884A-49D2-A314-AE8A8DE1354B}"/>
    <cellStyle name="Normal 5 2 5 2 4 2 3" xfId="13303" xr:uid="{72DAACEA-CF0A-4B06-9441-D20F012BB574}"/>
    <cellStyle name="Normal 5 2 5 2 4 2 4" xfId="21750" xr:uid="{FB75F736-C32A-4D7F-B216-36F495092C37}"/>
    <cellStyle name="Normal 5 2 5 2 4 3" xfId="6049" xr:uid="{00000000-0005-0000-0000-00002F190000}"/>
    <cellStyle name="Normal 5 2 5 2 4 3 2" xfId="15375" xr:uid="{7575483B-5269-4FF6-9A7B-A43B3327C41A}"/>
    <cellStyle name="Normal 5 2 5 2 4 3 3" xfId="23822" xr:uid="{EFE2CAF7-E0C4-423B-A841-AF6E0A0755AD}"/>
    <cellStyle name="Normal 5 2 5 2 4 4" xfId="11158" xr:uid="{76734B54-CB26-4638-9B22-62647B1BBB7A}"/>
    <cellStyle name="Normal 5 2 5 2 4 5" xfId="19605" xr:uid="{213A0983-74BB-4000-B474-7F3E5A91A445}"/>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DF588343-C354-4BB2-B46A-0BB62F914835}"/>
    <cellStyle name="Normal 5 2 5 2 5 2 2 3" xfId="26380" xr:uid="{9052ADC6-2C2B-4E6B-AAA5-DD20C4A2C261}"/>
    <cellStyle name="Normal 5 2 5 2 5 2 3" xfId="13716" xr:uid="{055E4AD8-CCC8-4CF3-8B9B-CB47039040C6}"/>
    <cellStyle name="Normal 5 2 5 2 5 2 4" xfId="22163" xr:uid="{97DA829A-BD3D-4181-8951-D544015070BC}"/>
    <cellStyle name="Normal 5 2 5 2 5 3" xfId="6462" xr:uid="{00000000-0005-0000-0000-000033190000}"/>
    <cellStyle name="Normal 5 2 5 2 5 3 2" xfId="15788" xr:uid="{E504373A-2471-408A-AEC0-1CD4A0108222}"/>
    <cellStyle name="Normal 5 2 5 2 5 3 3" xfId="24235" xr:uid="{1D4768B3-AE12-4257-B32F-43572A338A6C}"/>
    <cellStyle name="Normal 5 2 5 2 5 4" xfId="11571" xr:uid="{AD8E41CA-AB50-45B6-A7A2-EF5997300203}"/>
    <cellStyle name="Normal 5 2 5 2 5 5" xfId="20018" xr:uid="{5CC9A7C8-4E74-4AA7-8F5A-25BB0D090D7E}"/>
    <cellStyle name="Normal 5 2 5 2 6" xfId="2592" xr:uid="{00000000-0005-0000-0000-000034190000}"/>
    <cellStyle name="Normal 5 2 5 2 6 2" xfId="6875" xr:uid="{00000000-0005-0000-0000-000035190000}"/>
    <cellStyle name="Normal 5 2 5 2 6 2 2" xfId="16201" xr:uid="{615643F3-0798-427A-8CDF-4D91AE743AF7}"/>
    <cellStyle name="Normal 5 2 5 2 6 2 3" xfId="24648" xr:uid="{1DCACEDD-48A5-4D8A-BEFE-DC897817E2A0}"/>
    <cellStyle name="Normal 5 2 5 2 6 3" xfId="11984" xr:uid="{7143D50C-395D-4050-9B22-43F775CCD161}"/>
    <cellStyle name="Normal 5 2 5 2 6 4" xfId="20431" xr:uid="{4BB43AB6-CACA-4430-B511-58EE1F70E87D}"/>
    <cellStyle name="Normal 5 2 5 2 7" xfId="4810" xr:uid="{00000000-0005-0000-0000-000036190000}"/>
    <cellStyle name="Normal 5 2 5 2 7 2" xfId="14136" xr:uid="{B3321F5B-3726-4463-9E97-AB596A63FE24}"/>
    <cellStyle name="Normal 5 2 5 2 7 3" xfId="22583" xr:uid="{BBC38600-92D3-4350-BAF2-494397EBE61A}"/>
    <cellStyle name="Normal 5 2 5 2 8" xfId="9054" xr:uid="{844F6476-DDB9-4C38-A2B2-83AB0DCF1773}"/>
    <cellStyle name="Normal 5 2 5 2 9" xfId="9919" xr:uid="{1EB9FE74-C626-47E9-916A-557BFBB58E77}"/>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CEF2BADC-B466-4F22-BC6C-043E8BD90D27}"/>
    <cellStyle name="Normal 5 2 5 3 2 2 3" xfId="25140" xr:uid="{5DE0FC47-A160-4A8E-9BC5-9A3C97AF4029}"/>
    <cellStyle name="Normal 5 2 5 3 2 3" xfId="12476" xr:uid="{C6099554-1D86-4CFC-9DFA-424B7BAC178D}"/>
    <cellStyle name="Normal 5 2 5 3 2 4" xfId="20923" xr:uid="{C4FAD84E-808E-4CB2-91BB-8FFEBED9BE8B}"/>
    <cellStyle name="Normal 5 2 5 3 3" xfId="5222" xr:uid="{00000000-0005-0000-0000-00003A190000}"/>
    <cellStyle name="Normal 5 2 5 3 3 2" xfId="14548" xr:uid="{D64E6880-33CA-4EB4-9C97-09EC814C5834}"/>
    <cellStyle name="Normal 5 2 5 3 3 3" xfId="22995" xr:uid="{3B7F9EA9-75ED-469E-ACD0-CECE81E26A5F}"/>
    <cellStyle name="Normal 5 2 5 3 4" xfId="9272" xr:uid="{8865498C-CC61-4C5F-A1F4-57A1D301E1CE}"/>
    <cellStyle name="Normal 5 2 5 3 5" xfId="10331" xr:uid="{4A4D7142-287B-4F1D-9E1A-C92914DA96A7}"/>
    <cellStyle name="Normal 5 2 5 3 6" xfId="18778" xr:uid="{27A6AA8F-4B76-494F-AC81-E99B09AC8CB3}"/>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D708E018-5399-4F28-8C0B-42547164A5AD}"/>
    <cellStyle name="Normal 5 2 5 4 2 2 3" xfId="25553" xr:uid="{973E4A67-5B16-43F8-AB19-CE15D0EC300F}"/>
    <cellStyle name="Normal 5 2 5 4 2 3" xfId="12889" xr:uid="{EB18DB51-5362-4C19-BE90-A4D9EE0E8548}"/>
    <cellStyle name="Normal 5 2 5 4 2 4" xfId="21336" xr:uid="{AE506E24-3829-49D5-9055-BDB59E285B29}"/>
    <cellStyle name="Normal 5 2 5 4 3" xfId="5635" xr:uid="{00000000-0005-0000-0000-00003E190000}"/>
    <cellStyle name="Normal 5 2 5 4 3 2" xfId="14961" xr:uid="{FACD6DC0-D4B3-4F9A-A18B-26BEE386CB7B}"/>
    <cellStyle name="Normal 5 2 5 4 3 3" xfId="23408" xr:uid="{A48B509F-FB4A-4D93-B826-43F4C98C4174}"/>
    <cellStyle name="Normal 5 2 5 4 4" xfId="10744" xr:uid="{A853476C-5882-4020-BE51-9E83A1824B73}"/>
    <cellStyle name="Normal 5 2 5 4 5" xfId="19191" xr:uid="{FF373E58-FE3A-40EE-8785-EC1BD2885F42}"/>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1515F42B-B138-4B70-A8D7-B41C030A1816}"/>
    <cellStyle name="Normal 5 2 5 5 2 2 3" xfId="25966" xr:uid="{AAB3984A-0F91-416C-81D6-7331101059D5}"/>
    <cellStyle name="Normal 5 2 5 5 2 3" xfId="13302" xr:uid="{B1F37E7D-104D-42B3-9020-52D70A04F9E7}"/>
    <cellStyle name="Normal 5 2 5 5 2 4" xfId="21749" xr:uid="{8007B3D4-0F08-4A8C-90C4-0C3D22674026}"/>
    <cellStyle name="Normal 5 2 5 5 3" xfId="6048" xr:uid="{00000000-0005-0000-0000-000042190000}"/>
    <cellStyle name="Normal 5 2 5 5 3 2" xfId="15374" xr:uid="{EE2747C5-D482-4451-ACFF-2D26C690793E}"/>
    <cellStyle name="Normal 5 2 5 5 3 3" xfId="23821" xr:uid="{7805228E-1FB2-44AF-88D0-6722F3BA84D4}"/>
    <cellStyle name="Normal 5 2 5 5 4" xfId="11157" xr:uid="{9E136630-16DD-441E-9447-1B88E69594D2}"/>
    <cellStyle name="Normal 5 2 5 5 5" xfId="19604" xr:uid="{8395263D-139E-4255-A8F1-B3A3BF84F5A2}"/>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7585A6D5-D28D-4917-8EE2-A16F2308261C}"/>
    <cellStyle name="Normal 5 2 5 6 2 2 3" xfId="26379" xr:uid="{140F82F5-6DA2-4A61-8F43-5885A9BC69CD}"/>
    <cellStyle name="Normal 5 2 5 6 2 3" xfId="13715" xr:uid="{4CB0C0F0-490D-4A08-B153-D2A6A5B1E9CC}"/>
    <cellStyle name="Normal 5 2 5 6 2 4" xfId="22162" xr:uid="{3B95A2F6-757E-4BB5-BFE0-00A701B8009A}"/>
    <cellStyle name="Normal 5 2 5 6 3" xfId="6461" xr:uid="{00000000-0005-0000-0000-000046190000}"/>
    <cellStyle name="Normal 5 2 5 6 3 2" xfId="15787" xr:uid="{D4B7A811-37DD-40BC-822E-42E0B69EDD9A}"/>
    <cellStyle name="Normal 5 2 5 6 3 3" xfId="24234" xr:uid="{E83E395F-6D3C-4D57-972A-69732073018D}"/>
    <cellStyle name="Normal 5 2 5 6 4" xfId="11570" xr:uid="{6FB3FD08-0C36-435C-902C-FCED91BF4955}"/>
    <cellStyle name="Normal 5 2 5 6 5" xfId="20017" xr:uid="{DE175E08-0788-4256-B666-7FFAB9886486}"/>
    <cellStyle name="Normal 5 2 5 7" xfId="2591" xr:uid="{00000000-0005-0000-0000-000047190000}"/>
    <cellStyle name="Normal 5 2 5 7 2" xfId="6874" xr:uid="{00000000-0005-0000-0000-000048190000}"/>
    <cellStyle name="Normal 5 2 5 7 2 2" xfId="16200" xr:uid="{5CFAFDA9-4551-4BA3-8973-8EA500A75D12}"/>
    <cellStyle name="Normal 5 2 5 7 2 3" xfId="24647" xr:uid="{8EE1BD7C-15A6-4425-8ED3-6072E8FC4AE7}"/>
    <cellStyle name="Normal 5 2 5 7 3" xfId="11983" xr:uid="{75A92F70-BFA8-4390-AF83-1EEC106D969B}"/>
    <cellStyle name="Normal 5 2 5 7 4" xfId="20430" xr:uid="{3E40B40F-1C9A-4E62-8DBB-6AA1DC1BE732}"/>
    <cellStyle name="Normal 5 2 5 8" xfId="4809" xr:uid="{00000000-0005-0000-0000-000049190000}"/>
    <cellStyle name="Normal 5 2 5 8 2" xfId="14135" xr:uid="{4454F4DD-6787-4214-A474-14583804C522}"/>
    <cellStyle name="Normal 5 2 5 8 3" xfId="22582" xr:uid="{003130A8-B179-4E4E-B6E5-336532AF7749}"/>
    <cellStyle name="Normal 5 2 5 9" xfId="8847" xr:uid="{504334B5-BB84-4906-81A5-68746D711AC3}"/>
    <cellStyle name="Normal 5 2 6" xfId="438" xr:uid="{00000000-0005-0000-0000-00004A190000}"/>
    <cellStyle name="Normal 5 2 6 10" xfId="18367" xr:uid="{04A17292-1313-45EB-AFBD-B458B7A2EE69}"/>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3460F32E-616C-41F5-A372-C0980029423C}"/>
    <cellStyle name="Normal 5 2 6 2 2 2 3" xfId="25142" xr:uid="{1CD71388-A356-417E-B33F-558DCE269C15}"/>
    <cellStyle name="Normal 5 2 6 2 2 3" xfId="12478" xr:uid="{B4E1719C-DBE5-4E93-B722-CCB5FDC6A209}"/>
    <cellStyle name="Normal 5 2 6 2 2 4" xfId="20925" xr:uid="{DDDE301B-83B6-4BED-962E-E2584C7BDBC6}"/>
    <cellStyle name="Normal 5 2 6 2 3" xfId="5224" xr:uid="{00000000-0005-0000-0000-00004E190000}"/>
    <cellStyle name="Normal 5 2 6 2 3 2" xfId="14550" xr:uid="{9FA6A73E-C6FF-4884-BB5B-777B78A9609B}"/>
    <cellStyle name="Normal 5 2 6 2 3 3" xfId="22997" xr:uid="{9EE4C6A3-A8D2-4F4D-A929-7B3CAF09A16A}"/>
    <cellStyle name="Normal 5 2 6 2 4" xfId="9388" xr:uid="{38BE55A5-085B-499D-8766-DF826B77D03C}"/>
    <cellStyle name="Normal 5 2 6 2 5" xfId="10333" xr:uid="{3BE105E6-089A-41E4-839C-FCD6B100FF08}"/>
    <cellStyle name="Normal 5 2 6 2 6" xfId="18780" xr:uid="{EECD7AEB-24E7-47AB-83ED-82E48C1F5E53}"/>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7FA2E5E6-4CDF-4BA4-AC42-72F8E6CE0145}"/>
    <cellStyle name="Normal 5 2 6 3 2 2 3" xfId="25555" xr:uid="{1CAF8D03-BC24-47A8-8528-BD71AF8BD88F}"/>
    <cellStyle name="Normal 5 2 6 3 2 3" xfId="12891" xr:uid="{4A6D1535-6120-4936-872F-5C14F72EE6D3}"/>
    <cellStyle name="Normal 5 2 6 3 2 4" xfId="21338" xr:uid="{5CC8F3CA-5706-4711-A3E5-5AA1EC49BC12}"/>
    <cellStyle name="Normal 5 2 6 3 3" xfId="5637" xr:uid="{00000000-0005-0000-0000-000052190000}"/>
    <cellStyle name="Normal 5 2 6 3 3 2" xfId="14963" xr:uid="{E7E8CDC8-24E0-47D5-AF43-EAA4C6A34D6E}"/>
    <cellStyle name="Normal 5 2 6 3 3 3" xfId="23410" xr:uid="{AB8C79F7-D896-41D8-8795-85DCE0D72AC2}"/>
    <cellStyle name="Normal 5 2 6 3 4" xfId="10746" xr:uid="{41E07FFD-FC0B-4745-AB2E-FD4DDD194A4B}"/>
    <cellStyle name="Normal 5 2 6 3 5" xfId="19193" xr:uid="{2DF90D2D-7A2E-468D-B803-0E9FF217FDCC}"/>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9376FC96-D89B-48BB-AE32-C4F75B443F66}"/>
    <cellStyle name="Normal 5 2 6 4 2 2 3" xfId="25968" xr:uid="{9318CCB9-4977-4738-A8BC-EA6F289D3547}"/>
    <cellStyle name="Normal 5 2 6 4 2 3" xfId="13304" xr:uid="{92BDB292-51A8-42A3-AFA6-91138F0D12E7}"/>
    <cellStyle name="Normal 5 2 6 4 2 4" xfId="21751" xr:uid="{75E28B3F-DD90-438C-83BD-A1F11B3025DE}"/>
    <cellStyle name="Normal 5 2 6 4 3" xfId="6050" xr:uid="{00000000-0005-0000-0000-000056190000}"/>
    <cellStyle name="Normal 5 2 6 4 3 2" xfId="15376" xr:uid="{FBFBEA6B-74D3-4B5C-A7DA-B1B12FDD3B51}"/>
    <cellStyle name="Normal 5 2 6 4 3 3" xfId="23823" xr:uid="{B73E11DB-C731-4A90-975B-96234C5DE18F}"/>
    <cellStyle name="Normal 5 2 6 4 4" xfId="11159" xr:uid="{64745005-84C1-4C4B-AFA0-006981030074}"/>
    <cellStyle name="Normal 5 2 6 4 5" xfId="19606" xr:uid="{35083E94-A3CE-4AFE-B91D-6E5A0764CAD5}"/>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933DE962-5EEA-4419-BA47-0C85A8A9CA30}"/>
    <cellStyle name="Normal 5 2 6 5 2 2 3" xfId="26381" xr:uid="{12DBAC79-A86C-4487-9164-CE50287B5933}"/>
    <cellStyle name="Normal 5 2 6 5 2 3" xfId="13717" xr:uid="{1F6108C8-57C5-41B4-8792-1CEE219CBAD2}"/>
    <cellStyle name="Normal 5 2 6 5 2 4" xfId="22164" xr:uid="{041156B8-9A23-4946-8C5A-322E0A88E883}"/>
    <cellStyle name="Normal 5 2 6 5 3" xfId="6463" xr:uid="{00000000-0005-0000-0000-00005A190000}"/>
    <cellStyle name="Normal 5 2 6 5 3 2" xfId="15789" xr:uid="{43B5EA9D-E034-4F88-8635-7BBF78E48366}"/>
    <cellStyle name="Normal 5 2 6 5 3 3" xfId="24236" xr:uid="{E88E2826-DB7A-4C17-97B7-98F677054042}"/>
    <cellStyle name="Normal 5 2 6 5 4" xfId="11572" xr:uid="{D44C45F5-2E81-41F5-8C6A-E273B7CD78CD}"/>
    <cellStyle name="Normal 5 2 6 5 5" xfId="20019" xr:uid="{CA8E6FBD-C76F-440B-A229-EA2E71190AAA}"/>
    <cellStyle name="Normal 5 2 6 6" xfId="2593" xr:uid="{00000000-0005-0000-0000-00005B190000}"/>
    <cellStyle name="Normal 5 2 6 6 2" xfId="6876" xr:uid="{00000000-0005-0000-0000-00005C190000}"/>
    <cellStyle name="Normal 5 2 6 6 2 2" xfId="16202" xr:uid="{9C2FCF5C-CEB7-4633-AB75-44461004F7C2}"/>
    <cellStyle name="Normal 5 2 6 6 2 3" xfId="24649" xr:uid="{475A3BCF-8A3A-4D12-9854-0226F2157912}"/>
    <cellStyle name="Normal 5 2 6 6 3" xfId="11985" xr:uid="{AA70B9A7-114D-4A2B-878A-4E96208B0AC6}"/>
    <cellStyle name="Normal 5 2 6 6 4" xfId="20432" xr:uid="{A4490CDD-DD21-4163-8C1C-0D36419586FD}"/>
    <cellStyle name="Normal 5 2 6 7" xfId="4811" xr:uid="{00000000-0005-0000-0000-00005D190000}"/>
    <cellStyle name="Normal 5 2 6 7 2" xfId="14137" xr:uid="{399425B6-EF0A-4449-9DC5-1517396C35E8}"/>
    <cellStyle name="Normal 5 2 6 7 3" xfId="22584" xr:uid="{EEF7AB6A-F37A-43F1-B2BC-F0394F3BCC9B}"/>
    <cellStyle name="Normal 5 2 6 8" xfId="8963" xr:uid="{01BDB756-0B70-4C0D-AC32-9959EE0C8F11}"/>
    <cellStyle name="Normal 5 2 6 9" xfId="9920" xr:uid="{36DDA3A3-ACEF-4405-9F89-DB59F3A12044}"/>
    <cellStyle name="Normal 5 2 7" xfId="881" xr:uid="{00000000-0005-0000-0000-00005E190000}"/>
    <cellStyle name="Normal 5 2 7 2" xfId="3116" xr:uid="{00000000-0005-0000-0000-00005F190000}"/>
    <cellStyle name="Normal 5 2 7 2 2" xfId="7338" xr:uid="{00000000-0005-0000-0000-000060190000}"/>
    <cellStyle name="Normal 5 2 7 2 2 2" xfId="16664" xr:uid="{23ECDAF8-BC66-48B2-B425-0EFC79D5E603}"/>
    <cellStyle name="Normal 5 2 7 2 2 3" xfId="25111" xr:uid="{A6E2B24C-6A41-4865-8A6F-60E49A7484BA}"/>
    <cellStyle name="Normal 5 2 7 2 3" xfId="12447" xr:uid="{02FD3F8F-0568-424B-AB71-CD6E63540A68}"/>
    <cellStyle name="Normal 5 2 7 2 4" xfId="20894" xr:uid="{D2B44DFB-7D26-4F0C-B0CE-54EF242EF96C}"/>
    <cellStyle name="Normal 5 2 7 3" xfId="5193" xr:uid="{00000000-0005-0000-0000-000061190000}"/>
    <cellStyle name="Normal 5 2 7 3 2" xfId="14519" xr:uid="{0D9FF6B7-03FA-495C-BAA7-3388A5F1818D}"/>
    <cellStyle name="Normal 5 2 7 3 3" xfId="22966" xr:uid="{02E9B41D-6AF6-4EB8-8F5A-865A4BC960C2}"/>
    <cellStyle name="Normal 5 2 7 4" xfId="9166" xr:uid="{903BB692-5043-4803-B109-F7C532EB2A09}"/>
    <cellStyle name="Normal 5 2 7 5" xfId="10302" xr:uid="{F4D95059-A9CA-46A9-B7DF-134823E0FA89}"/>
    <cellStyle name="Normal 5 2 7 6" xfId="18749" xr:uid="{D1FC5504-2AC7-44FE-8A37-199B46E20DFE}"/>
    <cellStyle name="Normal 5 2 8" xfId="1299" xr:uid="{00000000-0005-0000-0000-000062190000}"/>
    <cellStyle name="Normal 5 2 8 2" xfId="3529" xr:uid="{00000000-0005-0000-0000-000063190000}"/>
    <cellStyle name="Normal 5 2 8 2 2" xfId="7751" xr:uid="{00000000-0005-0000-0000-000064190000}"/>
    <cellStyle name="Normal 5 2 8 2 2 2" xfId="17077" xr:uid="{ECDC1B52-50E5-4D6C-AA26-E7D0CE07C412}"/>
    <cellStyle name="Normal 5 2 8 2 2 3" xfId="25524" xr:uid="{2E1DDAE5-EA20-405E-873B-482237BAE038}"/>
    <cellStyle name="Normal 5 2 8 2 3" xfId="12860" xr:uid="{614D0951-8F59-466C-A1F6-E0C80F6DD283}"/>
    <cellStyle name="Normal 5 2 8 2 4" xfId="21307" xr:uid="{4142EA36-E4CC-463A-8631-A206B917F80F}"/>
    <cellStyle name="Normal 5 2 8 3" xfId="5606" xr:uid="{00000000-0005-0000-0000-000065190000}"/>
    <cellStyle name="Normal 5 2 8 3 2" xfId="14932" xr:uid="{03E00B59-59B9-4C6D-A176-8CF7EB1278DD}"/>
    <cellStyle name="Normal 5 2 8 3 3" xfId="23379" xr:uid="{8D722DDC-3B4A-4DD8-A912-883E69693369}"/>
    <cellStyle name="Normal 5 2 8 4" xfId="10715" xr:uid="{3D684AD1-92A5-4ADD-9053-8DC687F59167}"/>
    <cellStyle name="Normal 5 2 8 5" xfId="19162" xr:uid="{E68A3B75-53D2-4A5F-A9DD-3622FDD60636}"/>
    <cellStyle name="Normal 5 2 9" xfId="1712" xr:uid="{00000000-0005-0000-0000-000066190000}"/>
    <cellStyle name="Normal 5 2 9 2" xfId="3942" xr:uid="{00000000-0005-0000-0000-000067190000}"/>
    <cellStyle name="Normal 5 2 9 2 2" xfId="8164" xr:uid="{00000000-0005-0000-0000-000068190000}"/>
    <cellStyle name="Normal 5 2 9 2 2 2" xfId="17490" xr:uid="{DB5F0BB5-9968-4A18-AD08-69D96EC9BD50}"/>
    <cellStyle name="Normal 5 2 9 2 2 3" xfId="25937" xr:uid="{4FE7601D-B918-4909-A4DC-D7CEB6081D09}"/>
    <cellStyle name="Normal 5 2 9 2 3" xfId="13273" xr:uid="{E835B1BD-E7EA-485F-B094-169A9D7E9A24}"/>
    <cellStyle name="Normal 5 2 9 2 4" xfId="21720" xr:uid="{32427284-96A4-42E3-8475-1CCF118FDF96}"/>
    <cellStyle name="Normal 5 2 9 3" xfId="6019" xr:uid="{00000000-0005-0000-0000-000069190000}"/>
    <cellStyle name="Normal 5 2 9 3 2" xfId="15345" xr:uid="{92F8606D-4BB2-4588-BF38-F8E10593AC61}"/>
    <cellStyle name="Normal 5 2 9 3 3" xfId="23792" xr:uid="{55EF3115-2D52-4850-8899-9563A9D0FC99}"/>
    <cellStyle name="Normal 5 2 9 4" xfId="11128" xr:uid="{87DCD255-28A5-4813-BF24-C338B67DA9EE}"/>
    <cellStyle name="Normal 5 2 9 5" xfId="19575" xr:uid="{F10A688F-4AAE-40D5-AAA7-CDE97006825F}"/>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928773D7-18F1-47BE-B4B9-51790D104DEF}"/>
    <cellStyle name="Normal 5 3 10 2 2 3" xfId="26382" xr:uid="{8A8D8B91-2EEA-485B-98A3-F1569B0694DC}"/>
    <cellStyle name="Normal 5 3 10 2 3" xfId="13718" xr:uid="{2B957D33-CC96-4E3E-90D6-280966A1E356}"/>
    <cellStyle name="Normal 5 3 10 2 4" xfId="22165" xr:uid="{3E26764E-E9A1-4BE6-9D53-2C3501C2C06B}"/>
    <cellStyle name="Normal 5 3 10 3" xfId="6464" xr:uid="{00000000-0005-0000-0000-00006E190000}"/>
    <cellStyle name="Normal 5 3 10 3 2" xfId="15790" xr:uid="{2E2A533B-0200-4C51-9670-9C400873E9FD}"/>
    <cellStyle name="Normal 5 3 10 3 3" xfId="24237" xr:uid="{ED4386AD-10BA-4145-B4BB-200C2494FCC1}"/>
    <cellStyle name="Normal 5 3 10 4" xfId="11573" xr:uid="{12713804-21BE-4997-B441-A4EF75460097}"/>
    <cellStyle name="Normal 5 3 10 5" xfId="20020" xr:uid="{6CB2849C-46E1-455D-9A40-11C5FB78CB5E}"/>
    <cellStyle name="Normal 5 3 11" xfId="2594" xr:uid="{00000000-0005-0000-0000-00006F190000}"/>
    <cellStyle name="Normal 5 3 11 2" xfId="6877" xr:uid="{00000000-0005-0000-0000-000070190000}"/>
    <cellStyle name="Normal 5 3 11 2 2" xfId="16203" xr:uid="{6E9A793A-DC74-441F-9391-D09AE3573D12}"/>
    <cellStyle name="Normal 5 3 11 2 3" xfId="24650" xr:uid="{FA9D181E-1682-4FAA-A5BE-16787468D706}"/>
    <cellStyle name="Normal 5 3 11 3" xfId="11986" xr:uid="{8785B294-19CC-4E9F-965D-4FE461109E7F}"/>
    <cellStyle name="Normal 5 3 11 4" xfId="20433" xr:uid="{D2FE8447-3989-4845-B824-2ACC0DD5BDBE}"/>
    <cellStyle name="Normal 5 3 12" xfId="4812" xr:uid="{00000000-0005-0000-0000-000071190000}"/>
    <cellStyle name="Normal 5 3 12 2" xfId="14138" xr:uid="{967E7291-3318-4FB7-B5FD-7BBAA5056489}"/>
    <cellStyle name="Normal 5 3 12 3" xfId="22585" xr:uid="{BBF5FB5F-2D1B-4642-9DB4-BF5CF88E6B15}"/>
    <cellStyle name="Normal 5 3 13" xfId="8750" xr:uid="{36957AEF-D081-4A23-AEE3-073A5901863C}"/>
    <cellStyle name="Normal 5 3 14" xfId="9921" xr:uid="{05CBBA0C-F34B-4C82-BC2F-46AB5A2215EA}"/>
    <cellStyle name="Normal 5 3 15" xfId="18368" xr:uid="{9A2A4A88-E81C-4FC7-8B17-A6CCC9A3BBA9}"/>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2A259A9D-2855-4676-BE3F-3CED64ADE7D4}"/>
    <cellStyle name="Normal 5 3 3 10 3" xfId="22586" xr:uid="{6DA2E5B9-7C0C-4D54-8EE3-670747EBA3BB}"/>
    <cellStyle name="Normal 5 3 3 11" xfId="8782" xr:uid="{4219AD28-469A-4693-BD0B-B0536AC433E5}"/>
    <cellStyle name="Normal 5 3 3 12" xfId="9922" xr:uid="{318B2D94-8608-4814-B21A-5BE797C5132A}"/>
    <cellStyle name="Normal 5 3 3 13" xfId="18369" xr:uid="{EE7C3029-71BE-4950-B262-2ECFDF1FEF60}"/>
    <cellStyle name="Normal 5 3 3 2" xfId="442" xr:uid="{00000000-0005-0000-0000-000076190000}"/>
    <cellStyle name="Normal 5 3 3 2 10" xfId="8832" xr:uid="{03323DDB-E4E1-4078-8BBE-EA3DD4471E1B}"/>
    <cellStyle name="Normal 5 3 3 2 11" xfId="9923" xr:uid="{9E036638-0ADC-43CD-BD09-5F0528B7660F}"/>
    <cellStyle name="Normal 5 3 3 2 12" xfId="18370" xr:uid="{806EDEED-ED53-4A69-BBFC-312E6320CC0C}"/>
    <cellStyle name="Normal 5 3 3 2 2" xfId="443" xr:uid="{00000000-0005-0000-0000-000077190000}"/>
    <cellStyle name="Normal 5 3 3 2 2 10" xfId="9924" xr:uid="{946A6BF9-6FE6-4BED-99F1-DA917DEBD009}"/>
    <cellStyle name="Normal 5 3 3 2 2 11" xfId="18371" xr:uid="{7421BE9E-118E-4DB1-8C38-4432B70260AB}"/>
    <cellStyle name="Normal 5 3 3 2 2 2" xfId="444" xr:uid="{00000000-0005-0000-0000-000078190000}"/>
    <cellStyle name="Normal 5 3 3 2 2 2 10" xfId="18372" xr:uid="{289D8522-0D8E-467F-831F-306D4D63C73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93C2E458-0E4A-4C34-8588-56EC31AD427F}"/>
    <cellStyle name="Normal 5 3 3 2 2 2 2 2 2 3" xfId="25147" xr:uid="{2D225B34-1BC0-4579-864E-761CF8209F25}"/>
    <cellStyle name="Normal 5 3 3 2 2 2 2 2 3" xfId="12483" xr:uid="{E72CB3E7-9401-432F-9C02-DDF9C3FD46AD}"/>
    <cellStyle name="Normal 5 3 3 2 2 2 2 2 4" xfId="20930" xr:uid="{16E69305-EF35-485F-BD19-D4820C7F61CC}"/>
    <cellStyle name="Normal 5 3 3 2 2 2 2 3" xfId="5229" xr:uid="{00000000-0005-0000-0000-00007C190000}"/>
    <cellStyle name="Normal 5 3 3 2 2 2 2 3 2" xfId="14555" xr:uid="{D42EC8BB-B98B-44B1-A318-38408B545C7C}"/>
    <cellStyle name="Normal 5 3 3 2 2 2 2 3 3" xfId="23002" xr:uid="{327468CB-DCBF-4FA7-B7AA-BBE923B653FE}"/>
    <cellStyle name="Normal 5 3 3 2 2 2 2 4" xfId="9567" xr:uid="{C2519486-6BC5-47D1-879F-EC6040BC9E9D}"/>
    <cellStyle name="Normal 5 3 3 2 2 2 2 5" xfId="10338" xr:uid="{EF0ED3AB-69C7-47AD-A304-9726D24CF86D}"/>
    <cellStyle name="Normal 5 3 3 2 2 2 2 6" xfId="18785" xr:uid="{10367161-BBAE-453B-9382-4704BD36C6AF}"/>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579463BC-013D-425D-8DF8-E106A68F1E27}"/>
    <cellStyle name="Normal 5 3 3 2 2 2 3 2 2 3" xfId="25560" xr:uid="{CBCC1D60-AD55-4160-834F-9DC4941AE648}"/>
    <cellStyle name="Normal 5 3 3 2 2 2 3 2 3" xfId="12896" xr:uid="{8D05BFB6-3217-4902-9ED0-289B96E4EA29}"/>
    <cellStyle name="Normal 5 3 3 2 2 2 3 2 4" xfId="21343" xr:uid="{8A37535F-74A9-4FE4-9DCD-FE04A7DC913E}"/>
    <cellStyle name="Normal 5 3 3 2 2 2 3 3" xfId="5642" xr:uid="{00000000-0005-0000-0000-000080190000}"/>
    <cellStyle name="Normal 5 3 3 2 2 2 3 3 2" xfId="14968" xr:uid="{6580EA5B-3A1A-4AB2-8B8A-2129CC0D1280}"/>
    <cellStyle name="Normal 5 3 3 2 2 2 3 3 3" xfId="23415" xr:uid="{81033F32-C793-4098-9D04-A30D0A4E7C7A}"/>
    <cellStyle name="Normal 5 3 3 2 2 2 3 4" xfId="10751" xr:uid="{B68DFA74-4448-4C30-8D81-E244D9CE7D07}"/>
    <cellStyle name="Normal 5 3 3 2 2 2 3 5" xfId="19198" xr:uid="{6C46917C-BBA5-4DE6-95CC-0C41847EEA5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A67C1834-39CA-41C0-B230-729488E8C7D8}"/>
    <cellStyle name="Normal 5 3 3 2 2 2 4 2 2 3" xfId="25973" xr:uid="{73922EAE-2A4E-484F-9A81-34AABCC22A2B}"/>
    <cellStyle name="Normal 5 3 3 2 2 2 4 2 3" xfId="13309" xr:uid="{C1D4373C-8373-4392-A06C-63FCF41243AF}"/>
    <cellStyle name="Normal 5 3 3 2 2 2 4 2 4" xfId="21756" xr:uid="{AEA285E1-B71F-4686-82C6-FA9F2A0EA24D}"/>
    <cellStyle name="Normal 5 3 3 2 2 2 4 3" xfId="6055" xr:uid="{00000000-0005-0000-0000-000084190000}"/>
    <cellStyle name="Normal 5 3 3 2 2 2 4 3 2" xfId="15381" xr:uid="{A13F8E20-5020-49B3-A25A-578B56A2ACC0}"/>
    <cellStyle name="Normal 5 3 3 2 2 2 4 3 3" xfId="23828" xr:uid="{F3DA0DB9-72C0-4104-BBC3-EE412D146802}"/>
    <cellStyle name="Normal 5 3 3 2 2 2 4 4" xfId="11164" xr:uid="{1920BA6F-EE9B-4742-8B60-6A9B6563E426}"/>
    <cellStyle name="Normal 5 3 3 2 2 2 4 5" xfId="19611" xr:uid="{B88D2519-EF48-4811-8920-18C9EF699A3F}"/>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90787D44-93CA-4A7F-B80E-34D7986F3900}"/>
    <cellStyle name="Normal 5 3 3 2 2 2 5 2 2 3" xfId="26386" xr:uid="{FA19276D-ECC9-450A-9C06-69DC112214F7}"/>
    <cellStyle name="Normal 5 3 3 2 2 2 5 2 3" xfId="13722" xr:uid="{9471DBE2-EFEA-41CC-B430-B9C0605A22CE}"/>
    <cellStyle name="Normal 5 3 3 2 2 2 5 2 4" xfId="22169" xr:uid="{63A46361-8F53-4DEF-AD43-8D5383B2A489}"/>
    <cellStyle name="Normal 5 3 3 2 2 2 5 3" xfId="6468" xr:uid="{00000000-0005-0000-0000-000088190000}"/>
    <cellStyle name="Normal 5 3 3 2 2 2 5 3 2" xfId="15794" xr:uid="{F9047E0B-91B5-4BB7-B713-F16F3AB36D8C}"/>
    <cellStyle name="Normal 5 3 3 2 2 2 5 3 3" xfId="24241" xr:uid="{9742CC3E-8773-4A8F-AA24-41C23C8A5125}"/>
    <cellStyle name="Normal 5 3 3 2 2 2 5 4" xfId="11577" xr:uid="{5D406111-D713-455F-A82D-5AD9144D67BB}"/>
    <cellStyle name="Normal 5 3 3 2 2 2 5 5" xfId="20024" xr:uid="{69697F98-CC66-40F4-B586-7E4E1497F62A}"/>
    <cellStyle name="Normal 5 3 3 2 2 2 6" xfId="2598" xr:uid="{00000000-0005-0000-0000-000089190000}"/>
    <cellStyle name="Normal 5 3 3 2 2 2 6 2" xfId="6881" xr:uid="{00000000-0005-0000-0000-00008A190000}"/>
    <cellStyle name="Normal 5 3 3 2 2 2 6 2 2" xfId="16207" xr:uid="{1EA4BB11-32E4-4BF9-B217-AAC03079DC0C}"/>
    <cellStyle name="Normal 5 3 3 2 2 2 6 2 3" xfId="24654" xr:uid="{5F75B7C8-77DB-4F4D-AF5F-6D1D83FA79FC}"/>
    <cellStyle name="Normal 5 3 3 2 2 2 6 3" xfId="11990" xr:uid="{4BD34FE1-F04A-4E06-9ACD-B34BC691CF0E}"/>
    <cellStyle name="Normal 5 3 3 2 2 2 6 4" xfId="20437" xr:uid="{F19E3F43-B4A9-4DC6-999F-47E7602BC281}"/>
    <cellStyle name="Normal 5 3 3 2 2 2 7" xfId="4816" xr:uid="{00000000-0005-0000-0000-00008B190000}"/>
    <cellStyle name="Normal 5 3 3 2 2 2 7 2" xfId="14142" xr:uid="{4E0CEB0F-BA9B-42E5-91B7-E8FC24CF4E09}"/>
    <cellStyle name="Normal 5 3 3 2 2 2 7 3" xfId="22589" xr:uid="{9DD107F4-2737-4320-8DCA-2D90E8C3313D}"/>
    <cellStyle name="Normal 5 3 3 2 2 2 8" xfId="9142" xr:uid="{81CF9711-3A0B-4712-8E8F-033C974AA9E3}"/>
    <cellStyle name="Normal 5 3 3 2 2 2 9" xfId="9925" xr:uid="{AD070C0F-BE48-49F3-80F4-2121309E7B2B}"/>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3BA54716-58E1-49AE-998C-A6339A4EDEA1}"/>
    <cellStyle name="Normal 5 3 3 2 2 3 2 2 3" xfId="25146" xr:uid="{3AEF8CAA-CD5A-414D-97B3-9C0A09DA3EA0}"/>
    <cellStyle name="Normal 5 3 3 2 2 3 2 3" xfId="12482" xr:uid="{352EB949-1693-494E-88CA-BAB21C962AFE}"/>
    <cellStyle name="Normal 5 3 3 2 2 3 2 4" xfId="20929" xr:uid="{344C4172-24F7-4508-A4CA-78B6C6BCB313}"/>
    <cellStyle name="Normal 5 3 3 2 2 3 3" xfId="5228" xr:uid="{00000000-0005-0000-0000-00008F190000}"/>
    <cellStyle name="Normal 5 3 3 2 2 3 3 2" xfId="14554" xr:uid="{4EF6EBEA-899A-4E8F-90BD-F12A76E1AF17}"/>
    <cellStyle name="Normal 5 3 3 2 2 3 3 3" xfId="23001" xr:uid="{ADC9E0B3-67F6-4D5A-A2BE-B0B5C75B421F}"/>
    <cellStyle name="Normal 5 3 3 2 2 3 4" xfId="9360" xr:uid="{07447062-3C9B-4A41-BE9D-50DE495FF588}"/>
    <cellStyle name="Normal 5 3 3 2 2 3 5" xfId="10337" xr:uid="{40EE52B8-C9BC-43E1-BFF1-24265A96C737}"/>
    <cellStyle name="Normal 5 3 3 2 2 3 6" xfId="18784" xr:uid="{77497143-DDE6-46B8-9857-AF6C8578F309}"/>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8356BD6F-DA9E-43AC-B46C-890C8CF898B8}"/>
    <cellStyle name="Normal 5 3 3 2 2 4 2 2 3" xfId="25559" xr:uid="{F18D22AA-227A-4272-8368-D18488C703A3}"/>
    <cellStyle name="Normal 5 3 3 2 2 4 2 3" xfId="12895" xr:uid="{56A3AD38-4D60-4615-B46E-5BAAE21AD98F}"/>
    <cellStyle name="Normal 5 3 3 2 2 4 2 4" xfId="21342" xr:uid="{70636144-08AE-4191-8F8D-5D44164DF366}"/>
    <cellStyle name="Normal 5 3 3 2 2 4 3" xfId="5641" xr:uid="{00000000-0005-0000-0000-000093190000}"/>
    <cellStyle name="Normal 5 3 3 2 2 4 3 2" xfId="14967" xr:uid="{05C2DFA3-E633-4D03-A608-3D724EB9EB8A}"/>
    <cellStyle name="Normal 5 3 3 2 2 4 3 3" xfId="23414" xr:uid="{AD5454BF-7B67-4F13-9A64-403DAD30B23C}"/>
    <cellStyle name="Normal 5 3 3 2 2 4 4" xfId="10750" xr:uid="{2D512067-D6E8-4EB2-8967-36FC8175137A}"/>
    <cellStyle name="Normal 5 3 3 2 2 4 5" xfId="19197" xr:uid="{65F59AF8-31CF-44BE-A7E1-25133F8EAE08}"/>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4556589E-F55D-4CB0-9B8D-2B09659791DB}"/>
    <cellStyle name="Normal 5 3 3 2 2 5 2 2 3" xfId="25972" xr:uid="{658E7C06-66C4-4C17-9BC4-BEFFA49941B7}"/>
    <cellStyle name="Normal 5 3 3 2 2 5 2 3" xfId="13308" xr:uid="{4D6F8596-17F5-44A8-B6E3-AF9B109EA682}"/>
    <cellStyle name="Normal 5 3 3 2 2 5 2 4" xfId="21755" xr:uid="{BD8C31BC-55C7-43E8-A2E1-5693D0778DB6}"/>
    <cellStyle name="Normal 5 3 3 2 2 5 3" xfId="6054" xr:uid="{00000000-0005-0000-0000-000097190000}"/>
    <cellStyle name="Normal 5 3 3 2 2 5 3 2" xfId="15380" xr:uid="{EF7BA225-C269-433D-B6F0-A47DD64B4633}"/>
    <cellStyle name="Normal 5 3 3 2 2 5 3 3" xfId="23827" xr:uid="{9E6C1176-3B99-4FB5-B65B-D3BE63B7CDDF}"/>
    <cellStyle name="Normal 5 3 3 2 2 5 4" xfId="11163" xr:uid="{A76B3FAA-4E17-4109-A706-FA828CDD6A00}"/>
    <cellStyle name="Normal 5 3 3 2 2 5 5" xfId="19610" xr:uid="{242C0D38-FD0D-4B5F-B792-8568DE3C8502}"/>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2301A88F-0512-46D2-B870-3CFB039AE18E}"/>
    <cellStyle name="Normal 5 3 3 2 2 6 2 2 3" xfId="26385" xr:uid="{60C0C04E-A642-4263-9D93-A1E5D13F37BF}"/>
    <cellStyle name="Normal 5 3 3 2 2 6 2 3" xfId="13721" xr:uid="{1E1139D8-E1B8-4AAF-A6DE-317CD67F9616}"/>
    <cellStyle name="Normal 5 3 3 2 2 6 2 4" xfId="22168" xr:uid="{C5C9F8ED-C3F1-43D0-B37B-B64E9D35E194}"/>
    <cellStyle name="Normal 5 3 3 2 2 6 3" xfId="6467" xr:uid="{00000000-0005-0000-0000-00009B190000}"/>
    <cellStyle name="Normal 5 3 3 2 2 6 3 2" xfId="15793" xr:uid="{32C2083B-8B71-4175-9315-0EFDE1E4FA42}"/>
    <cellStyle name="Normal 5 3 3 2 2 6 3 3" xfId="24240" xr:uid="{46DB15A8-B1C8-490C-BBD8-9D322CB9AEB8}"/>
    <cellStyle name="Normal 5 3 3 2 2 6 4" xfId="11576" xr:uid="{22049C7B-DD46-456A-AC85-C327A5954A3E}"/>
    <cellStyle name="Normal 5 3 3 2 2 6 5" xfId="20023" xr:uid="{69D0000B-290E-45AF-AD20-D2E157DB59F6}"/>
    <cellStyle name="Normal 5 3 3 2 2 7" xfId="2597" xr:uid="{00000000-0005-0000-0000-00009C190000}"/>
    <cellStyle name="Normal 5 3 3 2 2 7 2" xfId="6880" xr:uid="{00000000-0005-0000-0000-00009D190000}"/>
    <cellStyle name="Normal 5 3 3 2 2 7 2 2" xfId="16206" xr:uid="{07C8F7DA-A5A5-4DD6-BAE1-92B00D8D1C35}"/>
    <cellStyle name="Normal 5 3 3 2 2 7 2 3" xfId="24653" xr:uid="{0A0B39A9-1225-40D0-9898-42E8610F5891}"/>
    <cellStyle name="Normal 5 3 3 2 2 7 3" xfId="11989" xr:uid="{0761099B-672E-44AD-B26E-4CD5916C2AF6}"/>
    <cellStyle name="Normal 5 3 3 2 2 7 4" xfId="20436" xr:uid="{CB3C32A4-405F-42DD-B8B6-FF0EF776424E}"/>
    <cellStyle name="Normal 5 3 3 2 2 8" xfId="4815" xr:uid="{00000000-0005-0000-0000-00009E190000}"/>
    <cellStyle name="Normal 5 3 3 2 2 8 2" xfId="14141" xr:uid="{CFF0A938-9EEE-4126-8829-8A8866D6E846}"/>
    <cellStyle name="Normal 5 3 3 2 2 8 3" xfId="22588" xr:uid="{5C56360F-AEFC-4AFA-81F9-1FB5E12C9473}"/>
    <cellStyle name="Normal 5 3 3 2 2 9" xfId="8935" xr:uid="{94B8766B-0DD5-4CC7-9403-D37FC711344B}"/>
    <cellStyle name="Normal 5 3 3 2 3" xfId="445" xr:uid="{00000000-0005-0000-0000-00009F190000}"/>
    <cellStyle name="Normal 5 3 3 2 3 10" xfId="18373" xr:uid="{7BCD6EF5-E9DB-45F0-9DE0-E8BC38CD2F25}"/>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87E446AD-5983-4CEC-AF5B-B24801267C28}"/>
    <cellStyle name="Normal 5 3 3 2 3 2 2 2 3" xfId="25148" xr:uid="{F5F760B2-4F89-4B38-9083-5003A4B3BA94}"/>
    <cellStyle name="Normal 5 3 3 2 3 2 2 3" xfId="12484" xr:uid="{4F0E14C4-118C-4E1A-87FE-8D8F018D721C}"/>
    <cellStyle name="Normal 5 3 3 2 3 2 2 4" xfId="20931" xr:uid="{01513BCC-0E70-45AB-A5D1-6A3D0AA9903C}"/>
    <cellStyle name="Normal 5 3 3 2 3 2 3" xfId="5230" xr:uid="{00000000-0005-0000-0000-0000A3190000}"/>
    <cellStyle name="Normal 5 3 3 2 3 2 3 2" xfId="14556" xr:uid="{2B0E3CF1-4567-421C-8C07-A1D22B2BB7BE}"/>
    <cellStyle name="Normal 5 3 3 2 3 2 3 3" xfId="23003" xr:uid="{D743A6AF-48B6-4FBC-B324-501B39D427B2}"/>
    <cellStyle name="Normal 5 3 3 2 3 2 4" xfId="9464" xr:uid="{6A182EEF-0879-47AD-839A-17D560B4AF3D}"/>
    <cellStyle name="Normal 5 3 3 2 3 2 5" xfId="10339" xr:uid="{6233864A-D327-4F4F-AAB8-11DEA99278AB}"/>
    <cellStyle name="Normal 5 3 3 2 3 2 6" xfId="18786" xr:uid="{0C52A5E3-EC53-4388-B123-7DFB3181A8F2}"/>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840CCA9B-A6C7-4FBE-8AAD-9ABCFF3897DB}"/>
    <cellStyle name="Normal 5 3 3 2 3 3 2 2 3" xfId="25561" xr:uid="{4ACBA5DC-C103-4653-AFD5-F4742E05481B}"/>
    <cellStyle name="Normal 5 3 3 2 3 3 2 3" xfId="12897" xr:uid="{2C062490-B8C9-4DC6-8941-1D8C02A6F3F0}"/>
    <cellStyle name="Normal 5 3 3 2 3 3 2 4" xfId="21344" xr:uid="{1AF3A4F2-B3F2-4241-8805-78E84B1FDA3A}"/>
    <cellStyle name="Normal 5 3 3 2 3 3 3" xfId="5643" xr:uid="{00000000-0005-0000-0000-0000A7190000}"/>
    <cellStyle name="Normal 5 3 3 2 3 3 3 2" xfId="14969" xr:uid="{2D506443-808F-43B7-B7A2-99F11F311340}"/>
    <cellStyle name="Normal 5 3 3 2 3 3 3 3" xfId="23416" xr:uid="{52852D92-E8F2-49EA-906C-4519E311FBD1}"/>
    <cellStyle name="Normal 5 3 3 2 3 3 4" xfId="10752" xr:uid="{115DA81A-3C67-4ADE-9949-50427AB8E396}"/>
    <cellStyle name="Normal 5 3 3 2 3 3 5" xfId="19199" xr:uid="{CAB19829-FA48-473C-864E-05F3C29EBF1F}"/>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D442F9CB-CFB1-47AF-83D7-55F6E121A713}"/>
    <cellStyle name="Normal 5 3 3 2 3 4 2 2 3" xfId="25974" xr:uid="{9D110AE1-F9F4-4751-B1E9-8B838A721082}"/>
    <cellStyle name="Normal 5 3 3 2 3 4 2 3" xfId="13310" xr:uid="{67C065A5-9C96-452C-A649-BD762CED18D4}"/>
    <cellStyle name="Normal 5 3 3 2 3 4 2 4" xfId="21757" xr:uid="{8D31130B-07FA-409B-B655-A6EF942E7A1C}"/>
    <cellStyle name="Normal 5 3 3 2 3 4 3" xfId="6056" xr:uid="{00000000-0005-0000-0000-0000AB190000}"/>
    <cellStyle name="Normal 5 3 3 2 3 4 3 2" xfId="15382" xr:uid="{AFF2A012-6309-4867-816A-55A55574B2AB}"/>
    <cellStyle name="Normal 5 3 3 2 3 4 3 3" xfId="23829" xr:uid="{C83B54E9-860C-4573-91DD-AEF77E7CEFF6}"/>
    <cellStyle name="Normal 5 3 3 2 3 4 4" xfId="11165" xr:uid="{0E9CD098-ED3A-4CE5-82CE-91EDA92A101D}"/>
    <cellStyle name="Normal 5 3 3 2 3 4 5" xfId="19612" xr:uid="{DC52E60F-EB9F-4E6B-97F6-3171D4A1C9C7}"/>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A5DB3020-9E85-4267-8635-72193D658111}"/>
    <cellStyle name="Normal 5 3 3 2 3 5 2 2 3" xfId="26387" xr:uid="{36DDC1D8-3BB3-4EED-A80E-A707B635DF67}"/>
    <cellStyle name="Normal 5 3 3 2 3 5 2 3" xfId="13723" xr:uid="{49E13BE6-B5B1-4EBE-B67F-01EE5E447941}"/>
    <cellStyle name="Normal 5 3 3 2 3 5 2 4" xfId="22170" xr:uid="{80B9C0B1-EE1A-45D6-9BDC-916E70E14296}"/>
    <cellStyle name="Normal 5 3 3 2 3 5 3" xfId="6469" xr:uid="{00000000-0005-0000-0000-0000AF190000}"/>
    <cellStyle name="Normal 5 3 3 2 3 5 3 2" xfId="15795" xr:uid="{1554198A-2989-4DC6-AFB4-EC38DD18449B}"/>
    <cellStyle name="Normal 5 3 3 2 3 5 3 3" xfId="24242" xr:uid="{F80FB650-4DB1-4554-8E31-8C5F817748E2}"/>
    <cellStyle name="Normal 5 3 3 2 3 5 4" xfId="11578" xr:uid="{2FD3AF99-0295-422E-BD98-EB3B9464EC3E}"/>
    <cellStyle name="Normal 5 3 3 2 3 5 5" xfId="20025" xr:uid="{D5AFA04A-AFB5-46F8-9BBB-846DD5444B61}"/>
    <cellStyle name="Normal 5 3 3 2 3 6" xfId="2599" xr:uid="{00000000-0005-0000-0000-0000B0190000}"/>
    <cellStyle name="Normal 5 3 3 2 3 6 2" xfId="6882" xr:uid="{00000000-0005-0000-0000-0000B1190000}"/>
    <cellStyle name="Normal 5 3 3 2 3 6 2 2" xfId="16208" xr:uid="{801110D4-FEA0-4432-B288-6A8950664AC4}"/>
    <cellStyle name="Normal 5 3 3 2 3 6 2 3" xfId="24655" xr:uid="{B9C3C674-DC56-468B-80C0-9A8F3A68DB83}"/>
    <cellStyle name="Normal 5 3 3 2 3 6 3" xfId="11991" xr:uid="{68D7664A-7501-487C-9584-1A6D5DCEDA4E}"/>
    <cellStyle name="Normal 5 3 3 2 3 6 4" xfId="20438" xr:uid="{EFF3C8FA-EB71-4278-B6AA-64F09F438C6F}"/>
    <cellStyle name="Normal 5 3 3 2 3 7" xfId="4817" xr:uid="{00000000-0005-0000-0000-0000B2190000}"/>
    <cellStyle name="Normal 5 3 3 2 3 7 2" xfId="14143" xr:uid="{573617D9-3838-46C9-81A6-12D5B9894B22}"/>
    <cellStyle name="Normal 5 3 3 2 3 7 3" xfId="22590" xr:uid="{2E3F2390-7B81-4555-ADCD-E44BC16AC473}"/>
    <cellStyle name="Normal 5 3 3 2 3 8" xfId="9039" xr:uid="{84D80CE6-A0CA-4841-8673-26EA7EC6806D}"/>
    <cellStyle name="Normal 5 3 3 2 3 9" xfId="9926" xr:uid="{8B910CA1-3440-465C-BAAF-679BE3863598}"/>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26D5FF1B-E516-4E0F-859C-55D0A6818488}"/>
    <cellStyle name="Normal 5 3 3 2 4 2 2 3" xfId="25145" xr:uid="{0D030F4C-1F62-45E9-B67A-C2D4406AF7F7}"/>
    <cellStyle name="Normal 5 3 3 2 4 2 3" xfId="12481" xr:uid="{D4938332-53BF-48FF-8F66-92A7F4987992}"/>
    <cellStyle name="Normal 5 3 3 2 4 2 4" xfId="20928" xr:uid="{A12662FF-C689-4F89-9BA2-B3AF3E85FBFE}"/>
    <cellStyle name="Normal 5 3 3 2 4 3" xfId="5227" xr:uid="{00000000-0005-0000-0000-0000B6190000}"/>
    <cellStyle name="Normal 5 3 3 2 4 3 2" xfId="14553" xr:uid="{551A8674-03DA-4DC0-B173-A53ED0BE3370}"/>
    <cellStyle name="Normal 5 3 3 2 4 3 3" xfId="23000" xr:uid="{C9AB2221-E1EC-440D-B1C8-243805111807}"/>
    <cellStyle name="Normal 5 3 3 2 4 4" xfId="9257" xr:uid="{E6656214-6E5B-491F-B1E3-227CB6568726}"/>
    <cellStyle name="Normal 5 3 3 2 4 5" xfId="10336" xr:uid="{847C2F67-1DAB-440B-B148-A6F0A1F571F1}"/>
    <cellStyle name="Normal 5 3 3 2 4 6" xfId="18783" xr:uid="{50F912B1-6B7B-4192-9FC9-BFF55AAC02F9}"/>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D56480C2-E26D-45E4-BE12-0DB6A6A59DE5}"/>
    <cellStyle name="Normal 5 3 3 2 5 2 2 3" xfId="25558" xr:uid="{AFFCF6AE-8FEF-4BD4-A2DB-BF7DB8557B1A}"/>
    <cellStyle name="Normal 5 3 3 2 5 2 3" xfId="12894" xr:uid="{A90F5A7B-FDB9-4C9F-8109-3E01578CE5B6}"/>
    <cellStyle name="Normal 5 3 3 2 5 2 4" xfId="21341" xr:uid="{757DEA11-9282-4171-91C5-8C4EF701E1A3}"/>
    <cellStyle name="Normal 5 3 3 2 5 3" xfId="5640" xr:uid="{00000000-0005-0000-0000-0000BA190000}"/>
    <cellStyle name="Normal 5 3 3 2 5 3 2" xfId="14966" xr:uid="{2866FE5B-5E2F-4D56-8AB1-1E952E8FBC25}"/>
    <cellStyle name="Normal 5 3 3 2 5 3 3" xfId="23413" xr:uid="{48CBEE2F-8066-41F1-AF51-8A618B8AF0DD}"/>
    <cellStyle name="Normal 5 3 3 2 5 4" xfId="10749" xr:uid="{B8D5316A-F0D0-47F9-BAE9-33FDFB3BD281}"/>
    <cellStyle name="Normal 5 3 3 2 5 5" xfId="19196" xr:uid="{3B6176CB-E91D-4E9F-AA04-C74B6886EA55}"/>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BEF52894-0F44-450F-AE51-7977C8E1BDEF}"/>
    <cellStyle name="Normal 5 3 3 2 6 2 2 3" xfId="25971" xr:uid="{2A5BE639-1EC9-4A2A-86BA-D3552F6EA9B2}"/>
    <cellStyle name="Normal 5 3 3 2 6 2 3" xfId="13307" xr:uid="{21B2A5CC-4F9C-4A3E-B050-0F05D9F1D09F}"/>
    <cellStyle name="Normal 5 3 3 2 6 2 4" xfId="21754" xr:uid="{1B7538EC-4390-434F-8C39-5F5AC801B95F}"/>
    <cellStyle name="Normal 5 3 3 2 6 3" xfId="6053" xr:uid="{00000000-0005-0000-0000-0000BE190000}"/>
    <cellStyle name="Normal 5 3 3 2 6 3 2" xfId="15379" xr:uid="{AC0FFD52-34FE-48D6-BD8C-42AA7956A276}"/>
    <cellStyle name="Normal 5 3 3 2 6 3 3" xfId="23826" xr:uid="{CADF0BB2-0472-45E5-B9BE-29D18E9EC9ED}"/>
    <cellStyle name="Normal 5 3 3 2 6 4" xfId="11162" xr:uid="{D71F6EB8-1419-4D8A-A8B3-0966EA0DEB91}"/>
    <cellStyle name="Normal 5 3 3 2 6 5" xfId="19609" xr:uid="{E33B1953-7AA5-4265-8355-B0DD83D2C416}"/>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BE31B624-D1AA-490B-AB90-8CC8169F5C90}"/>
    <cellStyle name="Normal 5 3 3 2 7 2 2 3" xfId="26384" xr:uid="{B96F8A90-9DAA-4F68-9379-4DCF65564642}"/>
    <cellStyle name="Normal 5 3 3 2 7 2 3" xfId="13720" xr:uid="{C489AD5C-7315-4FA5-BB7E-FAA4CFE1DD25}"/>
    <cellStyle name="Normal 5 3 3 2 7 2 4" xfId="22167" xr:uid="{EB0AEAB6-FCF4-4432-94DD-6B8A9DEFE4BE}"/>
    <cellStyle name="Normal 5 3 3 2 7 3" xfId="6466" xr:uid="{00000000-0005-0000-0000-0000C2190000}"/>
    <cellStyle name="Normal 5 3 3 2 7 3 2" xfId="15792" xr:uid="{E010A35E-85C9-46E6-A4C2-CEE50C59C9B8}"/>
    <cellStyle name="Normal 5 3 3 2 7 3 3" xfId="24239" xr:uid="{2B19DB3B-CD0A-4F33-8C17-E7E4C808F25F}"/>
    <cellStyle name="Normal 5 3 3 2 7 4" xfId="11575" xr:uid="{C32D8817-CC76-4D6B-B2E3-07212F43CD95}"/>
    <cellStyle name="Normal 5 3 3 2 7 5" xfId="20022" xr:uid="{B4293019-472C-461A-853E-ED90CFBAA164}"/>
    <cellStyle name="Normal 5 3 3 2 8" xfId="2596" xr:uid="{00000000-0005-0000-0000-0000C3190000}"/>
    <cellStyle name="Normal 5 3 3 2 8 2" xfId="6879" xr:uid="{00000000-0005-0000-0000-0000C4190000}"/>
    <cellStyle name="Normal 5 3 3 2 8 2 2" xfId="16205" xr:uid="{A6EDCCDF-A20C-4969-8EB9-0DD128B1738B}"/>
    <cellStyle name="Normal 5 3 3 2 8 2 3" xfId="24652" xr:uid="{9F97D084-F50B-4A35-9173-EB088AE6DCE9}"/>
    <cellStyle name="Normal 5 3 3 2 8 3" xfId="11988" xr:uid="{B9CB6F22-E341-45D5-A5AD-66F1ACDFA496}"/>
    <cellStyle name="Normal 5 3 3 2 8 4" xfId="20435" xr:uid="{38337658-7F32-4078-9961-7E97F1179C5C}"/>
    <cellStyle name="Normal 5 3 3 2 9" xfId="4814" xr:uid="{00000000-0005-0000-0000-0000C5190000}"/>
    <cellStyle name="Normal 5 3 3 2 9 2" xfId="14140" xr:uid="{8B8E9ED3-BC1A-46D3-AEED-DA3861BFD810}"/>
    <cellStyle name="Normal 5 3 3 2 9 3" xfId="22587" xr:uid="{A98D21E5-D6E0-45A2-9B77-7229F9BFE548}"/>
    <cellStyle name="Normal 5 3 3 3" xfId="446" xr:uid="{00000000-0005-0000-0000-0000C6190000}"/>
    <cellStyle name="Normal 5 3 3 3 10" xfId="9927" xr:uid="{BF168BE6-33E9-49A0-AB90-1E8BD94835D1}"/>
    <cellStyle name="Normal 5 3 3 3 11" xfId="18374" xr:uid="{8015CFEE-74CE-43AB-9212-6281E5278A59}"/>
    <cellStyle name="Normal 5 3 3 3 2" xfId="447" xr:uid="{00000000-0005-0000-0000-0000C7190000}"/>
    <cellStyle name="Normal 5 3 3 3 2 10" xfId="18375" xr:uid="{3012D581-C404-4BBC-8BA2-3D14641F74EC}"/>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C83095D7-5DF4-433E-BF58-F9D9D6D87CBE}"/>
    <cellStyle name="Normal 5 3 3 3 2 2 2 2 3" xfId="25150" xr:uid="{46153D79-BB6E-420F-96E8-19A649C4B7A5}"/>
    <cellStyle name="Normal 5 3 3 3 2 2 2 3" xfId="12486" xr:uid="{52FFDEC3-7D4F-49B4-BDD7-367A7610B505}"/>
    <cellStyle name="Normal 5 3 3 3 2 2 2 4" xfId="20933" xr:uid="{43E054A5-311D-4759-927C-AD5590CD72B7}"/>
    <cellStyle name="Normal 5 3 3 3 2 2 3" xfId="5232" xr:uid="{00000000-0005-0000-0000-0000CB190000}"/>
    <cellStyle name="Normal 5 3 3 3 2 2 3 2" xfId="14558" xr:uid="{66717654-52F4-4567-8C4F-0AC1B280EC3D}"/>
    <cellStyle name="Normal 5 3 3 3 2 2 3 3" xfId="23005" xr:uid="{7263733F-E518-4171-83A4-18393B455B23}"/>
    <cellStyle name="Normal 5 3 3 3 2 2 4" xfId="9517" xr:uid="{EA62A3B1-8ED5-4A6F-ACE0-B924BC16AA9E}"/>
    <cellStyle name="Normal 5 3 3 3 2 2 5" xfId="10341" xr:uid="{AB6A386F-36E9-49E3-9F67-CD690AEF224A}"/>
    <cellStyle name="Normal 5 3 3 3 2 2 6" xfId="18788" xr:uid="{7AE6301F-544F-42FB-BA20-21E965D085C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5AFC8F61-45E6-4CCB-8E85-2901AF6C610D}"/>
    <cellStyle name="Normal 5 3 3 3 2 3 2 2 3" xfId="25563" xr:uid="{66C623D9-9D66-4286-B38E-4B08D5050381}"/>
    <cellStyle name="Normal 5 3 3 3 2 3 2 3" xfId="12899" xr:uid="{3A75A6BE-0DEA-49D2-AC25-F62C5EA8BAF0}"/>
    <cellStyle name="Normal 5 3 3 3 2 3 2 4" xfId="21346" xr:uid="{D2AF0B4D-97A3-4319-8048-0377D9F34E07}"/>
    <cellStyle name="Normal 5 3 3 3 2 3 3" xfId="5645" xr:uid="{00000000-0005-0000-0000-0000CF190000}"/>
    <cellStyle name="Normal 5 3 3 3 2 3 3 2" xfId="14971" xr:uid="{B87F25D9-9A56-4265-8289-9F2B04909F65}"/>
    <cellStyle name="Normal 5 3 3 3 2 3 3 3" xfId="23418" xr:uid="{95DF3006-58EE-4A20-838F-CFAEE8BFF83F}"/>
    <cellStyle name="Normal 5 3 3 3 2 3 4" xfId="10754" xr:uid="{6FDBA1A4-7DDC-473F-A23A-2DE5EE294E6B}"/>
    <cellStyle name="Normal 5 3 3 3 2 3 5" xfId="19201" xr:uid="{334F7638-7894-4234-B24D-49789E09C26E}"/>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D43DAEAE-D65D-4937-ADED-F6130C4BAAEC}"/>
    <cellStyle name="Normal 5 3 3 3 2 4 2 2 3" xfId="25976" xr:uid="{B59A5033-08E1-4BC5-A7EF-03E59D16530B}"/>
    <cellStyle name="Normal 5 3 3 3 2 4 2 3" xfId="13312" xr:uid="{09428121-3C1D-4350-BDAF-89D5CD444DEF}"/>
    <cellStyle name="Normal 5 3 3 3 2 4 2 4" xfId="21759" xr:uid="{DEA97645-9877-4EC1-AC5D-449DA34FCF46}"/>
    <cellStyle name="Normal 5 3 3 3 2 4 3" xfId="6058" xr:uid="{00000000-0005-0000-0000-0000D3190000}"/>
    <cellStyle name="Normal 5 3 3 3 2 4 3 2" xfId="15384" xr:uid="{959158C5-8F7E-4641-AFC2-C1099AE5D854}"/>
    <cellStyle name="Normal 5 3 3 3 2 4 3 3" xfId="23831" xr:uid="{9203C66C-507D-49D0-88EB-6C6321C58542}"/>
    <cellStyle name="Normal 5 3 3 3 2 4 4" xfId="11167" xr:uid="{6AF9321F-43D3-4DA2-A6DD-B5BEBF7C9278}"/>
    <cellStyle name="Normal 5 3 3 3 2 4 5" xfId="19614" xr:uid="{48D567C6-5C2A-428E-8217-35A89F9170A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824BCD65-632F-43E2-B04C-42EE3C04F3F4}"/>
    <cellStyle name="Normal 5 3 3 3 2 5 2 2 3" xfId="26389" xr:uid="{31520804-DF5B-419D-8B92-5CC28CB1C428}"/>
    <cellStyle name="Normal 5 3 3 3 2 5 2 3" xfId="13725" xr:uid="{AEF97180-3E85-4A5B-B641-F0CFD4FC44E1}"/>
    <cellStyle name="Normal 5 3 3 3 2 5 2 4" xfId="22172" xr:uid="{A7D4428E-6AB1-4FA2-AE24-EAD3AA06C813}"/>
    <cellStyle name="Normal 5 3 3 3 2 5 3" xfId="6471" xr:uid="{00000000-0005-0000-0000-0000D7190000}"/>
    <cellStyle name="Normal 5 3 3 3 2 5 3 2" xfId="15797" xr:uid="{28820A25-7326-469C-85F3-473134E4F243}"/>
    <cellStyle name="Normal 5 3 3 3 2 5 3 3" xfId="24244" xr:uid="{9F947050-B097-43D8-9CA8-D055C7509D4B}"/>
    <cellStyle name="Normal 5 3 3 3 2 5 4" xfId="11580" xr:uid="{8CA57D41-ACB3-4B61-AAFC-997D68C48353}"/>
    <cellStyle name="Normal 5 3 3 3 2 5 5" xfId="20027" xr:uid="{C530A676-AEF7-42F8-A32F-509067597B87}"/>
    <cellStyle name="Normal 5 3 3 3 2 6" xfId="2601" xr:uid="{00000000-0005-0000-0000-0000D8190000}"/>
    <cellStyle name="Normal 5 3 3 3 2 6 2" xfId="6884" xr:uid="{00000000-0005-0000-0000-0000D9190000}"/>
    <cellStyle name="Normal 5 3 3 3 2 6 2 2" xfId="16210" xr:uid="{3F64FDEC-3947-4857-81B3-B6EBCE43738C}"/>
    <cellStyle name="Normal 5 3 3 3 2 6 2 3" xfId="24657" xr:uid="{11DDAA68-A5DD-467F-AD46-660772B5771E}"/>
    <cellStyle name="Normal 5 3 3 3 2 6 3" xfId="11993" xr:uid="{2A9A0877-507B-435E-9602-11EAA08BE86F}"/>
    <cellStyle name="Normal 5 3 3 3 2 6 4" xfId="20440" xr:uid="{0CA792C7-5F04-4AE2-8768-7865241F94D3}"/>
    <cellStyle name="Normal 5 3 3 3 2 7" xfId="4819" xr:uid="{00000000-0005-0000-0000-0000DA190000}"/>
    <cellStyle name="Normal 5 3 3 3 2 7 2" xfId="14145" xr:uid="{1A0A4DF8-DDBB-4296-BBC4-8448595710A6}"/>
    <cellStyle name="Normal 5 3 3 3 2 7 3" xfId="22592" xr:uid="{33E08F5E-1B5A-47DF-A658-CB227686EBF8}"/>
    <cellStyle name="Normal 5 3 3 3 2 8" xfId="9092" xr:uid="{A018BC5E-3880-4BA4-8CFB-322C89A13B5F}"/>
    <cellStyle name="Normal 5 3 3 3 2 9" xfId="9928" xr:uid="{04726722-9627-43F7-B5EA-2C1510AE7227}"/>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BC9BB83E-BC9E-44D1-B995-B0243385E5AE}"/>
    <cellStyle name="Normal 5 3 3 3 3 2 2 3" xfId="25149" xr:uid="{E0B91935-68CA-4A00-A460-6AC56B3AB00C}"/>
    <cellStyle name="Normal 5 3 3 3 3 2 3" xfId="12485" xr:uid="{12CA10EB-94EA-4AD4-8E21-23AA5D2B71B6}"/>
    <cellStyle name="Normal 5 3 3 3 3 2 4" xfId="20932" xr:uid="{48E5EC3E-2941-4A39-A365-669CD7EA6BE2}"/>
    <cellStyle name="Normal 5 3 3 3 3 3" xfId="5231" xr:uid="{00000000-0005-0000-0000-0000DE190000}"/>
    <cellStyle name="Normal 5 3 3 3 3 3 2" xfId="14557" xr:uid="{3C0DFC33-9CF5-416A-A03D-D0697A28E628}"/>
    <cellStyle name="Normal 5 3 3 3 3 3 3" xfId="23004" xr:uid="{CD7EC798-A220-4469-B730-AA94ADA5EBF8}"/>
    <cellStyle name="Normal 5 3 3 3 3 4" xfId="9310" xr:uid="{D169C31A-17C5-4934-97DF-D90479FD2654}"/>
    <cellStyle name="Normal 5 3 3 3 3 5" xfId="10340" xr:uid="{416866B2-7FDF-4D8B-9BD1-E6844ECB9686}"/>
    <cellStyle name="Normal 5 3 3 3 3 6" xfId="18787" xr:uid="{5895E22A-C17A-4826-A3C1-E109C5BCB2C3}"/>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1FB79F47-1C72-4523-8EF0-6CE3568C35F7}"/>
    <cellStyle name="Normal 5 3 3 3 4 2 2 3" xfId="25562" xr:uid="{B87C3F47-FC72-4866-93AD-2E6778105B1C}"/>
    <cellStyle name="Normal 5 3 3 3 4 2 3" xfId="12898" xr:uid="{4BC344C7-5094-49DB-9320-F48241879126}"/>
    <cellStyle name="Normal 5 3 3 3 4 2 4" xfId="21345" xr:uid="{68FA45DA-2292-4687-BE23-CB0184FDF1BF}"/>
    <cellStyle name="Normal 5 3 3 3 4 3" xfId="5644" xr:uid="{00000000-0005-0000-0000-0000E2190000}"/>
    <cellStyle name="Normal 5 3 3 3 4 3 2" xfId="14970" xr:uid="{DF53F544-2D71-4EA0-856D-E332ADE11B9F}"/>
    <cellStyle name="Normal 5 3 3 3 4 3 3" xfId="23417" xr:uid="{63168E44-9A44-45A4-9FE7-E59FF48ACE61}"/>
    <cellStyle name="Normal 5 3 3 3 4 4" xfId="10753" xr:uid="{B35BD1FD-F2F0-4818-9813-4B965F60E1B9}"/>
    <cellStyle name="Normal 5 3 3 3 4 5" xfId="19200" xr:uid="{2A83BAA0-3550-482C-B74A-92FFD054C671}"/>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F2957DC8-E119-49C5-8263-104F67247DC5}"/>
    <cellStyle name="Normal 5 3 3 3 5 2 2 3" xfId="25975" xr:uid="{A4C59DC8-08A2-4648-BCAA-7AA069678AD1}"/>
    <cellStyle name="Normal 5 3 3 3 5 2 3" xfId="13311" xr:uid="{D91033C2-E8DB-4A3D-8520-9301AE01B5DB}"/>
    <cellStyle name="Normal 5 3 3 3 5 2 4" xfId="21758" xr:uid="{F1107D2C-1860-468D-A1B4-02EC57DF834F}"/>
    <cellStyle name="Normal 5 3 3 3 5 3" xfId="6057" xr:uid="{00000000-0005-0000-0000-0000E6190000}"/>
    <cellStyle name="Normal 5 3 3 3 5 3 2" xfId="15383" xr:uid="{1A816D8F-6680-471F-BD28-DF53986A32E6}"/>
    <cellStyle name="Normal 5 3 3 3 5 3 3" xfId="23830" xr:uid="{C2DE0A09-9C70-4052-9CB2-3051EFFE5F9A}"/>
    <cellStyle name="Normal 5 3 3 3 5 4" xfId="11166" xr:uid="{A2E014CB-A827-4DC5-BF01-3A916818FF13}"/>
    <cellStyle name="Normal 5 3 3 3 5 5" xfId="19613" xr:uid="{7A3B943E-ECCF-483F-9D73-6249FDDA6A6C}"/>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CA2EACDA-ED33-4C0B-85E2-972CDB247374}"/>
    <cellStyle name="Normal 5 3 3 3 6 2 2 3" xfId="26388" xr:uid="{02C01AA3-61CC-4CF7-AD7B-A2379DCE39E8}"/>
    <cellStyle name="Normal 5 3 3 3 6 2 3" xfId="13724" xr:uid="{0597A736-BC01-4CF3-9990-46A1979BA12F}"/>
    <cellStyle name="Normal 5 3 3 3 6 2 4" xfId="22171" xr:uid="{4EFBE019-1FED-4FB2-8C71-46F883B945A0}"/>
    <cellStyle name="Normal 5 3 3 3 6 3" xfId="6470" xr:uid="{00000000-0005-0000-0000-0000EA190000}"/>
    <cellStyle name="Normal 5 3 3 3 6 3 2" xfId="15796" xr:uid="{21A9FB63-EABC-4ECB-B4B4-E3DCCF67039F}"/>
    <cellStyle name="Normal 5 3 3 3 6 3 3" xfId="24243" xr:uid="{6DA6DE7A-F9EA-4BF1-BFE3-AADAA743C24C}"/>
    <cellStyle name="Normal 5 3 3 3 6 4" xfId="11579" xr:uid="{735FB5A4-B379-4AC5-BCE8-8F4FEA86503E}"/>
    <cellStyle name="Normal 5 3 3 3 6 5" xfId="20026" xr:uid="{ACED1AE7-0F72-49D0-9FA8-8188F75DE990}"/>
    <cellStyle name="Normal 5 3 3 3 7" xfId="2600" xr:uid="{00000000-0005-0000-0000-0000EB190000}"/>
    <cellStyle name="Normal 5 3 3 3 7 2" xfId="6883" xr:uid="{00000000-0005-0000-0000-0000EC190000}"/>
    <cellStyle name="Normal 5 3 3 3 7 2 2" xfId="16209" xr:uid="{455C1E0F-4D98-4BAC-B76B-56413B120B2B}"/>
    <cellStyle name="Normal 5 3 3 3 7 2 3" xfId="24656" xr:uid="{1BF75168-E9AC-41D4-8588-23458AE9A1FF}"/>
    <cellStyle name="Normal 5 3 3 3 7 3" xfId="11992" xr:uid="{4A1738DE-FFBE-426C-8E4A-3B06EDD53249}"/>
    <cellStyle name="Normal 5 3 3 3 7 4" xfId="20439" xr:uid="{7DEDE927-9A70-458C-85E5-BB7DE4EFC8CE}"/>
    <cellStyle name="Normal 5 3 3 3 8" xfId="4818" xr:uid="{00000000-0005-0000-0000-0000ED190000}"/>
    <cellStyle name="Normal 5 3 3 3 8 2" xfId="14144" xr:uid="{2FCAC982-C7C4-47E3-8C42-0781EC21A51F}"/>
    <cellStyle name="Normal 5 3 3 3 8 3" xfId="22591" xr:uid="{22A214EE-08E1-488C-8FD7-16AA27EFA0A6}"/>
    <cellStyle name="Normal 5 3 3 3 9" xfId="8885" xr:uid="{BFA59703-C126-4DE9-A819-9190501D5C5B}"/>
    <cellStyle name="Normal 5 3 3 4" xfId="448" xr:uid="{00000000-0005-0000-0000-0000EE190000}"/>
    <cellStyle name="Normal 5 3 3 4 10" xfId="18376" xr:uid="{CFB2A98A-3C1D-4866-ADB4-62CCCEB0000C}"/>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C4C2E911-C928-458C-AC2D-172B93926285}"/>
    <cellStyle name="Normal 5 3 3 4 2 2 2 3" xfId="25151" xr:uid="{E8DDFA7C-9BD5-4A28-8A6D-139DB0F188C6}"/>
    <cellStyle name="Normal 5 3 3 4 2 2 3" xfId="12487" xr:uid="{0DC9428B-35C0-49F2-B7ED-A981939C6794}"/>
    <cellStyle name="Normal 5 3 3 4 2 2 4" xfId="20934" xr:uid="{894615A4-40C2-4F31-8545-21930C3E4FBF}"/>
    <cellStyle name="Normal 5 3 3 4 2 3" xfId="5233" xr:uid="{00000000-0005-0000-0000-0000F2190000}"/>
    <cellStyle name="Normal 5 3 3 4 2 3 2" xfId="14559" xr:uid="{836709E0-3F89-4819-AC68-28CEE331C545}"/>
    <cellStyle name="Normal 5 3 3 4 2 3 3" xfId="23006" xr:uid="{05E390B2-9B1A-498C-BBAF-95D89328E105}"/>
    <cellStyle name="Normal 5 3 3 4 2 4" xfId="9414" xr:uid="{BD781A4C-FDA7-4D11-87F3-3D38EC19B37A}"/>
    <cellStyle name="Normal 5 3 3 4 2 5" xfId="10342" xr:uid="{D6C47A2A-9627-42FC-B7A5-413FBA58751B}"/>
    <cellStyle name="Normal 5 3 3 4 2 6" xfId="18789" xr:uid="{80C50CC6-DFA9-4AE6-B2F9-BFA2D99EE7EF}"/>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3F9BB729-EDA1-458B-8332-D20E1659E493}"/>
    <cellStyle name="Normal 5 3 3 4 3 2 2 3" xfId="25564" xr:uid="{20F00BEE-E4CC-4B41-B4D5-BA86BC1D1CFE}"/>
    <cellStyle name="Normal 5 3 3 4 3 2 3" xfId="12900" xr:uid="{BAE9F546-41DB-412A-AF01-427BE07961E3}"/>
    <cellStyle name="Normal 5 3 3 4 3 2 4" xfId="21347" xr:uid="{2583E3D2-F7BD-421F-99A9-D63E7EEDC7E5}"/>
    <cellStyle name="Normal 5 3 3 4 3 3" xfId="5646" xr:uid="{00000000-0005-0000-0000-0000F6190000}"/>
    <cellStyle name="Normal 5 3 3 4 3 3 2" xfId="14972" xr:uid="{1879CB23-D943-4891-91B1-E3C11F27B65C}"/>
    <cellStyle name="Normal 5 3 3 4 3 3 3" xfId="23419" xr:uid="{D5973099-F2FD-4565-AA93-A3E166F01FD9}"/>
    <cellStyle name="Normal 5 3 3 4 3 4" xfId="10755" xr:uid="{EEA11A15-F0BB-4994-BDD0-5F7D3C9A2564}"/>
    <cellStyle name="Normal 5 3 3 4 3 5" xfId="19202" xr:uid="{F7A3F458-EAD7-495E-BBF3-B08CB7498346}"/>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40C8954E-13DA-4586-B993-C7BC84F25350}"/>
    <cellStyle name="Normal 5 3 3 4 4 2 2 3" xfId="25977" xr:uid="{3FF8B34D-2185-406B-8382-50F0032497FB}"/>
    <cellStyle name="Normal 5 3 3 4 4 2 3" xfId="13313" xr:uid="{30A17474-0848-4AEE-9306-2316F16310F3}"/>
    <cellStyle name="Normal 5 3 3 4 4 2 4" xfId="21760" xr:uid="{196189A8-99CB-4C7E-A9F1-ED1F1F470A64}"/>
    <cellStyle name="Normal 5 3 3 4 4 3" xfId="6059" xr:uid="{00000000-0005-0000-0000-0000FA190000}"/>
    <cellStyle name="Normal 5 3 3 4 4 3 2" xfId="15385" xr:uid="{4F6EC38B-1FEA-4AA6-813F-4558050E2866}"/>
    <cellStyle name="Normal 5 3 3 4 4 3 3" xfId="23832" xr:uid="{A994FD14-A503-48B2-9C58-190D04549B87}"/>
    <cellStyle name="Normal 5 3 3 4 4 4" xfId="11168" xr:uid="{E7A32DB5-7D8F-4793-809C-D368ACEB1119}"/>
    <cellStyle name="Normal 5 3 3 4 4 5" xfId="19615" xr:uid="{DE1601D0-559B-451F-9415-575BBB954595}"/>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146105BF-2F47-407E-BB14-B15F03CD87CF}"/>
    <cellStyle name="Normal 5 3 3 4 5 2 2 3" xfId="26390" xr:uid="{0354A61B-FCD3-4E24-B361-8A232F4DED89}"/>
    <cellStyle name="Normal 5 3 3 4 5 2 3" xfId="13726" xr:uid="{4AB1DAE1-339C-4AFA-98D2-722740453D81}"/>
    <cellStyle name="Normal 5 3 3 4 5 2 4" xfId="22173" xr:uid="{C117ED51-EEF8-4A31-8E12-6770912BB15D}"/>
    <cellStyle name="Normal 5 3 3 4 5 3" xfId="6472" xr:uid="{00000000-0005-0000-0000-0000FE190000}"/>
    <cellStyle name="Normal 5 3 3 4 5 3 2" xfId="15798" xr:uid="{2CABD04A-CF66-409E-B642-AEE22363DF70}"/>
    <cellStyle name="Normal 5 3 3 4 5 3 3" xfId="24245" xr:uid="{62438660-D679-4995-ABA5-843479EAFB9C}"/>
    <cellStyle name="Normal 5 3 3 4 5 4" xfId="11581" xr:uid="{1E057EB9-AC04-4C0F-90AD-5C18AF6D6C53}"/>
    <cellStyle name="Normal 5 3 3 4 5 5" xfId="20028" xr:uid="{C92896A9-D059-44F9-8EE0-09CD7AB15E80}"/>
    <cellStyle name="Normal 5 3 3 4 6" xfId="2602" xr:uid="{00000000-0005-0000-0000-0000FF190000}"/>
    <cellStyle name="Normal 5 3 3 4 6 2" xfId="6885" xr:uid="{00000000-0005-0000-0000-0000001A0000}"/>
    <cellStyle name="Normal 5 3 3 4 6 2 2" xfId="16211" xr:uid="{8D8DFD48-3828-42F4-9AA3-8E6F05E8A782}"/>
    <cellStyle name="Normal 5 3 3 4 6 2 3" xfId="24658" xr:uid="{C8316494-D3FB-4E7C-89E1-CE28580759CF}"/>
    <cellStyle name="Normal 5 3 3 4 6 3" xfId="11994" xr:uid="{B2E19F9E-9BC8-4DF1-94BE-4EB6F882B101}"/>
    <cellStyle name="Normal 5 3 3 4 6 4" xfId="20441" xr:uid="{233B525A-C78A-4687-BC89-7CCB53AE87CF}"/>
    <cellStyle name="Normal 5 3 3 4 7" xfId="4820" xr:uid="{00000000-0005-0000-0000-0000011A0000}"/>
    <cellStyle name="Normal 5 3 3 4 7 2" xfId="14146" xr:uid="{90183C65-CBD8-41DD-B55C-0AF48D2536B8}"/>
    <cellStyle name="Normal 5 3 3 4 7 3" xfId="22593" xr:uid="{ED6FAC55-EF12-49DE-8E7D-6E006D695E0B}"/>
    <cellStyle name="Normal 5 3 3 4 8" xfId="8989" xr:uid="{20FA1483-98E6-46C4-B00B-4EAF7957981D}"/>
    <cellStyle name="Normal 5 3 3 4 9" xfId="9929" xr:uid="{7F12E858-2972-4E25-95FE-36EE3611DA1D}"/>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F7FFB9ED-2B86-443C-9225-776E680F66F5}"/>
    <cellStyle name="Normal 5 3 3 5 2 2 3" xfId="25144" xr:uid="{16248255-5218-413C-86F6-E6FF1505EDD5}"/>
    <cellStyle name="Normal 5 3 3 5 2 3" xfId="12480" xr:uid="{18B1F1F4-E618-42B7-806F-48C0815449C7}"/>
    <cellStyle name="Normal 5 3 3 5 2 4" xfId="20927" xr:uid="{A34DC613-3D94-4856-95C1-9FE69771E6EA}"/>
    <cellStyle name="Normal 5 3 3 5 3" xfId="5226" xr:uid="{00000000-0005-0000-0000-0000051A0000}"/>
    <cellStyle name="Normal 5 3 3 5 3 2" xfId="14552" xr:uid="{E29CAD52-8560-4975-A590-9A37AD6B161D}"/>
    <cellStyle name="Normal 5 3 3 5 3 3" xfId="22999" xr:uid="{87482F47-2F93-4B66-94D8-3C69863ADF52}"/>
    <cellStyle name="Normal 5 3 3 5 4" xfId="9206" xr:uid="{CA749CBB-EAB5-483B-862D-D7B95A23D45C}"/>
    <cellStyle name="Normal 5 3 3 5 5" xfId="10335" xr:uid="{7198D902-459F-48AF-B51F-1845C5DC1DD5}"/>
    <cellStyle name="Normal 5 3 3 5 6" xfId="18782" xr:uid="{91B20A20-3859-4163-9E4B-E8B195C7F59F}"/>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4FF5B182-5CF8-42E8-889C-2441675B233B}"/>
    <cellStyle name="Normal 5 3 3 6 2 2 3" xfId="25557" xr:uid="{46A19338-6A83-4F5E-9541-D376DF6DADA6}"/>
    <cellStyle name="Normal 5 3 3 6 2 3" xfId="12893" xr:uid="{C9599DB1-CB62-4213-B6DC-CA952131EA7C}"/>
    <cellStyle name="Normal 5 3 3 6 2 4" xfId="21340" xr:uid="{79874C68-A9E7-4365-B545-DBA6DC68ADD5}"/>
    <cellStyle name="Normal 5 3 3 6 3" xfId="5639" xr:uid="{00000000-0005-0000-0000-0000091A0000}"/>
    <cellStyle name="Normal 5 3 3 6 3 2" xfId="14965" xr:uid="{B9F374F6-6702-476B-8309-0AC471B5F58D}"/>
    <cellStyle name="Normal 5 3 3 6 3 3" xfId="23412" xr:uid="{DBBEB637-38F7-4631-9839-D1848718DC6A}"/>
    <cellStyle name="Normal 5 3 3 6 4" xfId="10748" xr:uid="{50813FA8-5743-43A3-AC7A-F61704F8C278}"/>
    <cellStyle name="Normal 5 3 3 6 5" xfId="19195" xr:uid="{BE7A61DC-2143-42B1-A489-4F5CDC7C0C1E}"/>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7E3E0D74-E774-40DA-B7E3-0483FDFE49B4}"/>
    <cellStyle name="Normal 5 3 3 7 2 2 3" xfId="25970" xr:uid="{9DF80738-B943-48C6-A293-D84E309B96C8}"/>
    <cellStyle name="Normal 5 3 3 7 2 3" xfId="13306" xr:uid="{EDC36F8D-34CD-4F83-8CB7-1044E5F9A009}"/>
    <cellStyle name="Normal 5 3 3 7 2 4" xfId="21753" xr:uid="{19C6AD15-0870-41D9-B8A3-7AD2E2FE5286}"/>
    <cellStyle name="Normal 5 3 3 7 3" xfId="6052" xr:uid="{00000000-0005-0000-0000-00000D1A0000}"/>
    <cellStyle name="Normal 5 3 3 7 3 2" xfId="15378" xr:uid="{E6DC9431-6352-4A62-91CA-258DDCEBDDD3}"/>
    <cellStyle name="Normal 5 3 3 7 3 3" xfId="23825" xr:uid="{F7E0D391-1E4C-4AFA-8B9F-4ECAEAF98169}"/>
    <cellStyle name="Normal 5 3 3 7 4" xfId="11161" xr:uid="{83D508FB-2B3F-40E8-8F89-B1C4E3E7AE87}"/>
    <cellStyle name="Normal 5 3 3 7 5" xfId="19608" xr:uid="{C1585B95-FDD9-4324-82E7-77D6F9303100}"/>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7F40BEB2-FC77-452B-8E1E-29DF6F284EC8}"/>
    <cellStyle name="Normal 5 3 3 8 2 2 3" xfId="26383" xr:uid="{31D5A2E3-1266-476E-A86F-7724D6A34375}"/>
    <cellStyle name="Normal 5 3 3 8 2 3" xfId="13719" xr:uid="{0BF75C99-C4F4-4E93-A18A-2D31CBAEC65C}"/>
    <cellStyle name="Normal 5 3 3 8 2 4" xfId="22166" xr:uid="{9B57357E-1E25-4307-A774-B06F6809E7F1}"/>
    <cellStyle name="Normal 5 3 3 8 3" xfId="6465" xr:uid="{00000000-0005-0000-0000-0000111A0000}"/>
    <cellStyle name="Normal 5 3 3 8 3 2" xfId="15791" xr:uid="{8394F6BC-09C4-4BBE-9B1A-5893CE22F438}"/>
    <cellStyle name="Normal 5 3 3 8 3 3" xfId="24238" xr:uid="{B700C0C9-C50A-461E-9D5E-A024155ACFD0}"/>
    <cellStyle name="Normal 5 3 3 8 4" xfId="11574" xr:uid="{F570E42F-A8C1-453A-A5B5-1C7E1E60E40B}"/>
    <cellStyle name="Normal 5 3 3 8 5" xfId="20021" xr:uid="{18E78208-A01A-4087-B342-60C176BE4C44}"/>
    <cellStyle name="Normal 5 3 3 9" xfId="2595" xr:uid="{00000000-0005-0000-0000-0000121A0000}"/>
    <cellStyle name="Normal 5 3 3 9 2" xfId="6878" xr:uid="{00000000-0005-0000-0000-0000131A0000}"/>
    <cellStyle name="Normal 5 3 3 9 2 2" xfId="16204" xr:uid="{FFAFFB88-9EC4-4593-89D5-F55BB417DAB2}"/>
    <cellStyle name="Normal 5 3 3 9 2 3" xfId="24651" xr:uid="{A637DACF-D0CA-47CC-8673-73E9C6271044}"/>
    <cellStyle name="Normal 5 3 3 9 3" xfId="11987" xr:uid="{2964E265-C646-4322-861D-F1CA74E53424}"/>
    <cellStyle name="Normal 5 3 3 9 4" xfId="20434" xr:uid="{A05F2F91-E689-4946-903E-9BF076B428A6}"/>
    <cellStyle name="Normal 5 3 4" xfId="449" xr:uid="{00000000-0005-0000-0000-0000141A0000}"/>
    <cellStyle name="Normal 5 3 4 10" xfId="8831" xr:uid="{39AD872D-FBC2-4C4A-B537-79F8014E4247}"/>
    <cellStyle name="Normal 5 3 4 11" xfId="9930" xr:uid="{C4B939A4-1B94-4CEF-A49E-570119E91BF1}"/>
    <cellStyle name="Normal 5 3 4 12" xfId="18377" xr:uid="{B9E0575B-73FC-4399-AD11-6F26E1714586}"/>
    <cellStyle name="Normal 5 3 4 2" xfId="450" xr:uid="{00000000-0005-0000-0000-0000151A0000}"/>
    <cellStyle name="Normal 5 3 4 2 10" xfId="9931" xr:uid="{E0146C29-0D17-4977-9825-FAE68D1FAB41}"/>
    <cellStyle name="Normal 5 3 4 2 11" xfId="18378" xr:uid="{8ACF2BDE-E379-4E40-847A-B3ADEB5C0CC7}"/>
    <cellStyle name="Normal 5 3 4 2 2" xfId="451" xr:uid="{00000000-0005-0000-0000-0000161A0000}"/>
    <cellStyle name="Normal 5 3 4 2 2 10" xfId="18379" xr:uid="{9B6F1188-49CC-4B7D-BEC6-2C28FBA8CA55}"/>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0D9DCE4B-F2A0-4A00-81FE-5573C2204BAE}"/>
    <cellStyle name="Normal 5 3 4 2 2 2 2 2 3" xfId="25154" xr:uid="{3A5B1D23-EB64-45D9-8301-8EE7F23584AA}"/>
    <cellStyle name="Normal 5 3 4 2 2 2 2 3" xfId="12490" xr:uid="{906D2C0A-7145-4A8A-88BB-DED43F87B70C}"/>
    <cellStyle name="Normal 5 3 4 2 2 2 2 4" xfId="20937" xr:uid="{90E4A668-C02B-46B3-95B7-0AACA21B84B6}"/>
    <cellStyle name="Normal 5 3 4 2 2 2 3" xfId="5236" xr:uid="{00000000-0005-0000-0000-00001A1A0000}"/>
    <cellStyle name="Normal 5 3 4 2 2 2 3 2" xfId="14562" xr:uid="{0C54BE28-3F82-4681-99D5-7374644CABE7}"/>
    <cellStyle name="Normal 5 3 4 2 2 2 3 3" xfId="23009" xr:uid="{D41A3AFF-E4F3-40CF-A2B1-BB14BB57320D}"/>
    <cellStyle name="Normal 5 3 4 2 2 2 4" xfId="9566" xr:uid="{D483C248-9680-462F-989C-42C712CD6EB7}"/>
    <cellStyle name="Normal 5 3 4 2 2 2 5" xfId="10345" xr:uid="{C2779ECE-D2D2-4CD9-BCE8-B9AB50D9282A}"/>
    <cellStyle name="Normal 5 3 4 2 2 2 6" xfId="18792" xr:uid="{D28A0A23-B1C5-4E23-9C98-B875F86A8988}"/>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E732068E-9E1B-4C44-BB94-1D93256BE855}"/>
    <cellStyle name="Normal 5 3 4 2 2 3 2 2 3" xfId="25567" xr:uid="{21FC6ABB-440D-4856-B46B-21053EFB2439}"/>
    <cellStyle name="Normal 5 3 4 2 2 3 2 3" xfId="12903" xr:uid="{60BCB20B-A259-4907-B732-6923DD02C39C}"/>
    <cellStyle name="Normal 5 3 4 2 2 3 2 4" xfId="21350" xr:uid="{FF78998D-BB79-451F-8C88-E0C27EAD2228}"/>
    <cellStyle name="Normal 5 3 4 2 2 3 3" xfId="5649" xr:uid="{00000000-0005-0000-0000-00001E1A0000}"/>
    <cellStyle name="Normal 5 3 4 2 2 3 3 2" xfId="14975" xr:uid="{7D2F3242-C9B9-4E0A-BCCC-A0BD9A8790F0}"/>
    <cellStyle name="Normal 5 3 4 2 2 3 3 3" xfId="23422" xr:uid="{CF6EDA0C-BE54-463F-8B2E-625FE9EBAA83}"/>
    <cellStyle name="Normal 5 3 4 2 2 3 4" xfId="10758" xr:uid="{417D023D-F5CD-4E99-A9A0-62B7535C3885}"/>
    <cellStyle name="Normal 5 3 4 2 2 3 5" xfId="19205" xr:uid="{C539A482-AFCC-44EB-8DC9-3281E4360123}"/>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6CA1EA20-A03A-411F-BEAC-1383AB0431E7}"/>
    <cellStyle name="Normal 5 3 4 2 2 4 2 2 3" xfId="25980" xr:uid="{BBD2350D-44D4-4F07-96AE-C0F05F3E52FF}"/>
    <cellStyle name="Normal 5 3 4 2 2 4 2 3" xfId="13316" xr:uid="{03D85783-E6F2-42DC-94B7-9475120DE10A}"/>
    <cellStyle name="Normal 5 3 4 2 2 4 2 4" xfId="21763" xr:uid="{7793C179-CBB4-4860-87B5-C402C3BAA416}"/>
    <cellStyle name="Normal 5 3 4 2 2 4 3" xfId="6062" xr:uid="{00000000-0005-0000-0000-0000221A0000}"/>
    <cellStyle name="Normal 5 3 4 2 2 4 3 2" xfId="15388" xr:uid="{880BA0FF-0C3E-45F7-BCB4-FF68D3E67E16}"/>
    <cellStyle name="Normal 5 3 4 2 2 4 3 3" xfId="23835" xr:uid="{BB3E84A7-92F4-423B-B997-42A9E640BA7C}"/>
    <cellStyle name="Normal 5 3 4 2 2 4 4" xfId="11171" xr:uid="{1810399E-5E42-45C9-B39B-4E839A4762F2}"/>
    <cellStyle name="Normal 5 3 4 2 2 4 5" xfId="19618" xr:uid="{A1398A22-3313-4CB0-B6CC-5A9915367A16}"/>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D774C6A4-97E5-4D32-B6D3-CDA3C0F99EEB}"/>
    <cellStyle name="Normal 5 3 4 2 2 5 2 2 3" xfId="26393" xr:uid="{D57919DD-7056-4EB8-8900-6FFFED535858}"/>
    <cellStyle name="Normal 5 3 4 2 2 5 2 3" xfId="13729" xr:uid="{25FA86F1-94E2-48C7-A741-9D5F1474E94E}"/>
    <cellStyle name="Normal 5 3 4 2 2 5 2 4" xfId="22176" xr:uid="{AE7DD3B3-86F3-43A4-A450-16130761F07E}"/>
    <cellStyle name="Normal 5 3 4 2 2 5 3" xfId="6475" xr:uid="{00000000-0005-0000-0000-0000261A0000}"/>
    <cellStyle name="Normal 5 3 4 2 2 5 3 2" xfId="15801" xr:uid="{008C259B-C527-467B-BDCC-16840B509D7B}"/>
    <cellStyle name="Normal 5 3 4 2 2 5 3 3" xfId="24248" xr:uid="{751AC526-391E-43C9-9E5D-DAC2DD1F6C7C}"/>
    <cellStyle name="Normal 5 3 4 2 2 5 4" xfId="11584" xr:uid="{562FEBC7-9C74-47B1-BE97-584150297004}"/>
    <cellStyle name="Normal 5 3 4 2 2 5 5" xfId="20031" xr:uid="{652AF96C-95FE-4324-BDAB-1445AC2A91AA}"/>
    <cellStyle name="Normal 5 3 4 2 2 6" xfId="2605" xr:uid="{00000000-0005-0000-0000-0000271A0000}"/>
    <cellStyle name="Normal 5 3 4 2 2 6 2" xfId="6888" xr:uid="{00000000-0005-0000-0000-0000281A0000}"/>
    <cellStyle name="Normal 5 3 4 2 2 6 2 2" xfId="16214" xr:uid="{220E7A3D-841B-4492-BEC1-ABC7F51F4081}"/>
    <cellStyle name="Normal 5 3 4 2 2 6 2 3" xfId="24661" xr:uid="{1B1CF7FC-1475-411F-9E74-B6C1B37ACCE3}"/>
    <cellStyle name="Normal 5 3 4 2 2 6 3" xfId="11997" xr:uid="{07DE3DCA-1C44-42D5-ADF9-69927DF5FBC2}"/>
    <cellStyle name="Normal 5 3 4 2 2 6 4" xfId="20444" xr:uid="{79B3CF00-6CAB-4744-9019-05E3114B3DB7}"/>
    <cellStyle name="Normal 5 3 4 2 2 7" xfId="4823" xr:uid="{00000000-0005-0000-0000-0000291A0000}"/>
    <cellStyle name="Normal 5 3 4 2 2 7 2" xfId="14149" xr:uid="{9E698E4A-B1FA-42ED-9D84-F5998121BD45}"/>
    <cellStyle name="Normal 5 3 4 2 2 7 3" xfId="22596" xr:uid="{4EAD7C61-E006-45BD-957C-DA139105BAB2}"/>
    <cellStyle name="Normal 5 3 4 2 2 8" xfId="9141" xr:uid="{6B63A6D0-0E60-498B-8E53-451D5144533A}"/>
    <cellStyle name="Normal 5 3 4 2 2 9" xfId="9932" xr:uid="{3BDDF6BC-28BF-4448-BB68-D9BE3AA896E0}"/>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754C1F90-D81D-4E25-A82D-A1C7E225F665}"/>
    <cellStyle name="Normal 5 3 4 2 3 2 2 3" xfId="25153" xr:uid="{F86F44BE-E900-4B7A-BB6D-6568577A3176}"/>
    <cellStyle name="Normal 5 3 4 2 3 2 3" xfId="12489" xr:uid="{A0FAD0AF-E0B0-4B9A-9D9E-C8D73F542EBF}"/>
    <cellStyle name="Normal 5 3 4 2 3 2 4" xfId="20936" xr:uid="{EA9D235B-ED86-49B3-9375-DB70D6AC1828}"/>
    <cellStyle name="Normal 5 3 4 2 3 3" xfId="5235" xr:uid="{00000000-0005-0000-0000-00002D1A0000}"/>
    <cellStyle name="Normal 5 3 4 2 3 3 2" xfId="14561" xr:uid="{72BD8359-BB0C-4D3C-97B1-86075A2BC66F}"/>
    <cellStyle name="Normal 5 3 4 2 3 3 3" xfId="23008" xr:uid="{C72C09C5-E2F5-4848-9E31-3A9437950DC9}"/>
    <cellStyle name="Normal 5 3 4 2 3 4" xfId="9359" xr:uid="{FAC41203-2BC4-411F-9296-10781BA4F1AB}"/>
    <cellStyle name="Normal 5 3 4 2 3 5" xfId="10344" xr:uid="{03E29029-C28E-45C9-9FE4-DF7EC6EBCD05}"/>
    <cellStyle name="Normal 5 3 4 2 3 6" xfId="18791" xr:uid="{C3C9966D-7B26-4EC5-AA17-A3863D7B95EC}"/>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D5F2215B-FBA1-43DA-8596-83E8C72C631B}"/>
    <cellStyle name="Normal 5 3 4 2 4 2 2 3" xfId="25566" xr:uid="{443F4FCB-5505-4591-B56B-F730A03DA823}"/>
    <cellStyle name="Normal 5 3 4 2 4 2 3" xfId="12902" xr:uid="{634797B9-25DA-4BC3-8393-13DC12E12FE9}"/>
    <cellStyle name="Normal 5 3 4 2 4 2 4" xfId="21349" xr:uid="{F7030B16-884C-4597-A9EC-F63D1D06CE03}"/>
    <cellStyle name="Normal 5 3 4 2 4 3" xfId="5648" xr:uid="{00000000-0005-0000-0000-0000311A0000}"/>
    <cellStyle name="Normal 5 3 4 2 4 3 2" xfId="14974" xr:uid="{B230C75C-EDE1-4058-9059-A5BF405CD379}"/>
    <cellStyle name="Normal 5 3 4 2 4 3 3" xfId="23421" xr:uid="{28D67825-0B67-4553-B065-63903CF036D8}"/>
    <cellStyle name="Normal 5 3 4 2 4 4" xfId="10757" xr:uid="{B47F66E5-24F2-40D0-AA70-3AE03AE238B8}"/>
    <cellStyle name="Normal 5 3 4 2 4 5" xfId="19204" xr:uid="{A9FC4522-91B0-4F0B-A5D0-3BD4E2E65E82}"/>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15F6CA0E-5FD8-4EBE-85CA-A1328EE95A0E}"/>
    <cellStyle name="Normal 5 3 4 2 5 2 2 3" xfId="25979" xr:uid="{4E667D4F-A5B2-47F9-BE41-CA800C21A0A2}"/>
    <cellStyle name="Normal 5 3 4 2 5 2 3" xfId="13315" xr:uid="{117E4C7F-73BA-4B9C-A867-1F57AACCE5B9}"/>
    <cellStyle name="Normal 5 3 4 2 5 2 4" xfId="21762" xr:uid="{2E1D3A19-6045-4644-B4BB-B81094E45AD2}"/>
    <cellStyle name="Normal 5 3 4 2 5 3" xfId="6061" xr:uid="{00000000-0005-0000-0000-0000351A0000}"/>
    <cellStyle name="Normal 5 3 4 2 5 3 2" xfId="15387" xr:uid="{2557CF89-F3A9-49A9-96A5-C972F4AB980E}"/>
    <cellStyle name="Normal 5 3 4 2 5 3 3" xfId="23834" xr:uid="{49BF0EF5-DF2E-4418-BFCD-890D3FFF63F3}"/>
    <cellStyle name="Normal 5 3 4 2 5 4" xfId="11170" xr:uid="{1AD31D7F-4C3C-4CB7-B2E7-B60221F9D486}"/>
    <cellStyle name="Normal 5 3 4 2 5 5" xfId="19617" xr:uid="{48CE1663-3B8F-4979-8768-7F71A916BE7A}"/>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F99F313D-09D7-4398-AE2A-CC230BC4ECC5}"/>
    <cellStyle name="Normal 5 3 4 2 6 2 2 3" xfId="26392" xr:uid="{0B76F795-027F-4EA5-A704-441BFF17FF34}"/>
    <cellStyle name="Normal 5 3 4 2 6 2 3" xfId="13728" xr:uid="{3138468D-0FB4-41A2-9B35-C320D5EA6E32}"/>
    <cellStyle name="Normal 5 3 4 2 6 2 4" xfId="22175" xr:uid="{F1D33C4D-434F-4D9C-AED7-3F4DA39D30C6}"/>
    <cellStyle name="Normal 5 3 4 2 6 3" xfId="6474" xr:uid="{00000000-0005-0000-0000-0000391A0000}"/>
    <cellStyle name="Normal 5 3 4 2 6 3 2" xfId="15800" xr:uid="{4025B494-F6A4-4850-A565-230B854CAFBC}"/>
    <cellStyle name="Normal 5 3 4 2 6 3 3" xfId="24247" xr:uid="{8CFE1DD9-6F51-4171-897F-2E23E5349605}"/>
    <cellStyle name="Normal 5 3 4 2 6 4" xfId="11583" xr:uid="{8A894350-72D8-47C2-96E0-AD94910EC256}"/>
    <cellStyle name="Normal 5 3 4 2 6 5" xfId="20030" xr:uid="{044F9CC8-CB51-4F60-90B2-DED0CE3D1849}"/>
    <cellStyle name="Normal 5 3 4 2 7" xfId="2604" xr:uid="{00000000-0005-0000-0000-00003A1A0000}"/>
    <cellStyle name="Normal 5 3 4 2 7 2" xfId="6887" xr:uid="{00000000-0005-0000-0000-00003B1A0000}"/>
    <cellStyle name="Normal 5 3 4 2 7 2 2" xfId="16213" xr:uid="{38A7A780-BB2F-40A0-9D3E-543E0B8435C5}"/>
    <cellStyle name="Normal 5 3 4 2 7 2 3" xfId="24660" xr:uid="{270CB80D-AF4B-49B3-AA12-543D75DEF49E}"/>
    <cellStyle name="Normal 5 3 4 2 7 3" xfId="11996" xr:uid="{D743EC71-9835-4502-96B5-5B092DCE5D10}"/>
    <cellStyle name="Normal 5 3 4 2 7 4" xfId="20443" xr:uid="{F7D24E95-CBD5-4DD4-AAF5-D43928213477}"/>
    <cellStyle name="Normal 5 3 4 2 8" xfId="4822" xr:uid="{00000000-0005-0000-0000-00003C1A0000}"/>
    <cellStyle name="Normal 5 3 4 2 8 2" xfId="14148" xr:uid="{94AAB824-1815-407E-A408-590E5EA87CCA}"/>
    <cellStyle name="Normal 5 3 4 2 8 3" xfId="22595" xr:uid="{11A47DC5-2A46-4F15-9065-11770C149722}"/>
    <cellStyle name="Normal 5 3 4 2 9" xfId="8934" xr:uid="{D16D0DF9-4576-4200-8972-8AAD50545E0D}"/>
    <cellStyle name="Normal 5 3 4 3" xfId="452" xr:uid="{00000000-0005-0000-0000-00003D1A0000}"/>
    <cellStyle name="Normal 5 3 4 3 10" xfId="18380" xr:uid="{FD87FF2F-3F8E-4C06-AC9E-F568FB00864D}"/>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8088564B-00EA-4529-8CA3-70A30909317B}"/>
    <cellStyle name="Normal 5 3 4 3 2 2 2 3" xfId="25155" xr:uid="{D1F608C6-7AB8-425B-AE33-AFC5A429393A}"/>
    <cellStyle name="Normal 5 3 4 3 2 2 3" xfId="12491" xr:uid="{A6BB0257-8DB8-49B0-BEBA-2153FC3090F0}"/>
    <cellStyle name="Normal 5 3 4 3 2 2 4" xfId="20938" xr:uid="{32D875BC-5BE4-4B9B-9507-BC4A6A0637D7}"/>
    <cellStyle name="Normal 5 3 4 3 2 3" xfId="5237" xr:uid="{00000000-0005-0000-0000-0000411A0000}"/>
    <cellStyle name="Normal 5 3 4 3 2 3 2" xfId="14563" xr:uid="{B6C23946-5E63-483A-84CC-1B0A9C0F4731}"/>
    <cellStyle name="Normal 5 3 4 3 2 3 3" xfId="23010" xr:uid="{F2BFF7B5-01CE-418A-9066-67F4E2656850}"/>
    <cellStyle name="Normal 5 3 4 3 2 4" xfId="9463" xr:uid="{1CC38E89-013B-404F-9F3E-11BABC37F656}"/>
    <cellStyle name="Normal 5 3 4 3 2 5" xfId="10346" xr:uid="{08172519-4812-4C57-9809-65001F35B8FE}"/>
    <cellStyle name="Normal 5 3 4 3 2 6" xfId="18793" xr:uid="{2E39563C-395C-4510-97F8-4C4175886EFC}"/>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5B1ED50D-44CA-4820-B776-0247EB790B7E}"/>
    <cellStyle name="Normal 5 3 4 3 3 2 2 3" xfId="25568" xr:uid="{74930C66-DB83-47D4-90D3-3DDA5C562678}"/>
    <cellStyle name="Normal 5 3 4 3 3 2 3" xfId="12904" xr:uid="{1BF42121-C8EC-4FC2-AEE2-7FB4B3DC337E}"/>
    <cellStyle name="Normal 5 3 4 3 3 2 4" xfId="21351" xr:uid="{F165679F-0490-4098-AD13-65C6258A16E1}"/>
    <cellStyle name="Normal 5 3 4 3 3 3" xfId="5650" xr:uid="{00000000-0005-0000-0000-0000451A0000}"/>
    <cellStyle name="Normal 5 3 4 3 3 3 2" xfId="14976" xr:uid="{7462CA5B-41CA-4777-9996-4333F110E9D1}"/>
    <cellStyle name="Normal 5 3 4 3 3 3 3" xfId="23423" xr:uid="{797E03AD-F46C-412B-9ED4-6408DEC52E58}"/>
    <cellStyle name="Normal 5 3 4 3 3 4" xfId="10759" xr:uid="{F6916C49-8F18-4EA5-B8A4-6CCA19AC23BE}"/>
    <cellStyle name="Normal 5 3 4 3 3 5" xfId="19206" xr:uid="{3B65F7E5-2952-41A8-948D-5E569946E91E}"/>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B0A757ED-68B1-479E-B50F-D117D455FD44}"/>
    <cellStyle name="Normal 5 3 4 3 4 2 2 3" xfId="25981" xr:uid="{4F966C99-BFDD-42DB-A8D5-3181B34F19AA}"/>
    <cellStyle name="Normal 5 3 4 3 4 2 3" xfId="13317" xr:uid="{AA8F121F-B111-489F-B90E-2F71DC1BD701}"/>
    <cellStyle name="Normal 5 3 4 3 4 2 4" xfId="21764" xr:uid="{D1FBAF9C-7B79-4E2D-9E83-2E71D0E4E815}"/>
    <cellStyle name="Normal 5 3 4 3 4 3" xfId="6063" xr:uid="{00000000-0005-0000-0000-0000491A0000}"/>
    <cellStyle name="Normal 5 3 4 3 4 3 2" xfId="15389" xr:uid="{9E25F30A-B856-44A9-800F-AD734C1D6B89}"/>
    <cellStyle name="Normal 5 3 4 3 4 3 3" xfId="23836" xr:uid="{BCD527BF-CF4B-4B30-89DA-A8312C2EF957}"/>
    <cellStyle name="Normal 5 3 4 3 4 4" xfId="11172" xr:uid="{0EECA00D-6D5F-41A9-9E76-87A1367FA6EA}"/>
    <cellStyle name="Normal 5 3 4 3 4 5" xfId="19619" xr:uid="{439A40C3-00AC-457B-9C7B-E2C59916FCE1}"/>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E9E255A1-021F-49E3-A18F-DCC9A6BB40D4}"/>
    <cellStyle name="Normal 5 3 4 3 5 2 2 3" xfId="26394" xr:uid="{D53180A6-C8A9-4B8E-8C60-8F3D8BD7F62F}"/>
    <cellStyle name="Normal 5 3 4 3 5 2 3" xfId="13730" xr:uid="{9B2D999C-6CE1-484F-9F46-AE75FDEF7BFE}"/>
    <cellStyle name="Normal 5 3 4 3 5 2 4" xfId="22177" xr:uid="{7BA52282-ECE1-42E5-AC67-2EA9D15B88FB}"/>
    <cellStyle name="Normal 5 3 4 3 5 3" xfId="6476" xr:uid="{00000000-0005-0000-0000-00004D1A0000}"/>
    <cellStyle name="Normal 5 3 4 3 5 3 2" xfId="15802" xr:uid="{39575F51-9D1E-4279-B221-B5192338614C}"/>
    <cellStyle name="Normal 5 3 4 3 5 3 3" xfId="24249" xr:uid="{7FC12DC3-9643-4191-A18B-BD5B7E57BFB6}"/>
    <cellStyle name="Normal 5 3 4 3 5 4" xfId="11585" xr:uid="{FBF569BF-F635-49DD-9F76-85F0AD79B05E}"/>
    <cellStyle name="Normal 5 3 4 3 5 5" xfId="20032" xr:uid="{8681958F-97D4-4379-99FB-CB93C89EC73F}"/>
    <cellStyle name="Normal 5 3 4 3 6" xfId="2606" xr:uid="{00000000-0005-0000-0000-00004E1A0000}"/>
    <cellStyle name="Normal 5 3 4 3 6 2" xfId="6889" xr:uid="{00000000-0005-0000-0000-00004F1A0000}"/>
    <cellStyle name="Normal 5 3 4 3 6 2 2" xfId="16215" xr:uid="{71DB97B8-6E87-470E-AA97-11F526516291}"/>
    <cellStyle name="Normal 5 3 4 3 6 2 3" xfId="24662" xr:uid="{C51C71B1-E219-4651-8F34-F6B61B7105EB}"/>
    <cellStyle name="Normal 5 3 4 3 6 3" xfId="11998" xr:uid="{89EA62CA-376C-41D8-B58E-A6D73F22CCE5}"/>
    <cellStyle name="Normal 5 3 4 3 6 4" xfId="20445" xr:uid="{A6888CCA-5129-482F-A395-8B0ACBAB4476}"/>
    <cellStyle name="Normal 5 3 4 3 7" xfId="4824" xr:uid="{00000000-0005-0000-0000-0000501A0000}"/>
    <cellStyle name="Normal 5 3 4 3 7 2" xfId="14150" xr:uid="{D3F3AD8B-10BD-4B30-AA65-7556034EE8BC}"/>
    <cellStyle name="Normal 5 3 4 3 7 3" xfId="22597" xr:uid="{D823328F-54B8-426A-91E7-5B003419A954}"/>
    <cellStyle name="Normal 5 3 4 3 8" xfId="9038" xr:uid="{15024032-E3C2-4FDD-B674-481D39A836C5}"/>
    <cellStyle name="Normal 5 3 4 3 9" xfId="9933" xr:uid="{BAA58112-A768-4F97-A7C0-6226526A08AA}"/>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B0836E77-75FB-496C-8FD0-2C529BCBE668}"/>
    <cellStyle name="Normal 5 3 4 4 2 2 3" xfId="25152" xr:uid="{0CC0811F-FFAB-4D7C-9A59-11D7792F6EBB}"/>
    <cellStyle name="Normal 5 3 4 4 2 3" xfId="12488" xr:uid="{7E5E7B59-B609-44AC-938B-1356117AD1DC}"/>
    <cellStyle name="Normal 5 3 4 4 2 4" xfId="20935" xr:uid="{CAC3AA87-A24C-46E8-97B9-35F99D168F50}"/>
    <cellStyle name="Normal 5 3 4 4 3" xfId="5234" xr:uid="{00000000-0005-0000-0000-0000541A0000}"/>
    <cellStyle name="Normal 5 3 4 4 3 2" xfId="14560" xr:uid="{BFC568E3-2365-4208-87DD-3447DFD67078}"/>
    <cellStyle name="Normal 5 3 4 4 3 3" xfId="23007" xr:uid="{8DAADE77-95A7-4675-BD10-21F70016AC21}"/>
    <cellStyle name="Normal 5 3 4 4 4" xfId="9256" xr:uid="{69A14F57-2B46-4294-8CA5-E21858516C25}"/>
    <cellStyle name="Normal 5 3 4 4 5" xfId="10343" xr:uid="{376F07EB-2809-43A1-8C2F-B88A6CA597B4}"/>
    <cellStyle name="Normal 5 3 4 4 6" xfId="18790" xr:uid="{1EF815E6-8BF9-4C05-8032-FF1FC574840C}"/>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385C0AB8-88CA-4D57-B650-8C42B2F50F80}"/>
    <cellStyle name="Normal 5 3 4 5 2 2 3" xfId="25565" xr:uid="{26E1FF6D-7873-4F74-88FB-200FAE850D82}"/>
    <cellStyle name="Normal 5 3 4 5 2 3" xfId="12901" xr:uid="{7405FB4F-C71B-4114-A3FC-B8D3BA5795DA}"/>
    <cellStyle name="Normal 5 3 4 5 2 4" xfId="21348" xr:uid="{634D1B06-3D96-47CF-B18C-005006F38EF4}"/>
    <cellStyle name="Normal 5 3 4 5 3" xfId="5647" xr:uid="{00000000-0005-0000-0000-0000581A0000}"/>
    <cellStyle name="Normal 5 3 4 5 3 2" xfId="14973" xr:uid="{E0115830-9913-4882-98DF-2248F8E51DC0}"/>
    <cellStyle name="Normal 5 3 4 5 3 3" xfId="23420" xr:uid="{3563528D-761C-4A62-A911-83245198EB5A}"/>
    <cellStyle name="Normal 5 3 4 5 4" xfId="10756" xr:uid="{90E366F7-7C75-45BB-B046-26CE246D3337}"/>
    <cellStyle name="Normal 5 3 4 5 5" xfId="19203" xr:uid="{C3567F27-9FC9-4D8C-96D8-065836ACA3E2}"/>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A2ABA86B-2494-42F1-AA32-AD15001BADE5}"/>
    <cellStyle name="Normal 5 3 4 6 2 2 3" xfId="25978" xr:uid="{49DF8A83-BDD1-48F6-B609-58BFF2319E89}"/>
    <cellStyle name="Normal 5 3 4 6 2 3" xfId="13314" xr:uid="{755939B3-8B29-43F2-B6FB-DE49CCBEAA9F}"/>
    <cellStyle name="Normal 5 3 4 6 2 4" xfId="21761" xr:uid="{111DB24C-2F8F-424E-8975-88D6FB9E2496}"/>
    <cellStyle name="Normal 5 3 4 6 3" xfId="6060" xr:uid="{00000000-0005-0000-0000-00005C1A0000}"/>
    <cellStyle name="Normal 5 3 4 6 3 2" xfId="15386" xr:uid="{1F4C8258-AB63-4C4E-9DC6-B050FBED506E}"/>
    <cellStyle name="Normal 5 3 4 6 3 3" xfId="23833" xr:uid="{914E5FB1-42D3-48D9-9E37-9C6E51DECB82}"/>
    <cellStyle name="Normal 5 3 4 6 4" xfId="11169" xr:uid="{2E7C92D8-A090-41FD-BA56-78BD508D1BAD}"/>
    <cellStyle name="Normal 5 3 4 6 5" xfId="19616" xr:uid="{BE922AFE-AC11-4320-A19D-10A5ACD16471}"/>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0B60F0DD-0821-49B9-BD3A-90DFAB30C613}"/>
    <cellStyle name="Normal 5 3 4 7 2 2 3" xfId="26391" xr:uid="{FBEDFBBE-CED9-4A86-AB3F-AEBB64F4C4B5}"/>
    <cellStyle name="Normal 5 3 4 7 2 3" xfId="13727" xr:uid="{4CD62557-EE0E-4A84-A874-4BDE9BC8976E}"/>
    <cellStyle name="Normal 5 3 4 7 2 4" xfId="22174" xr:uid="{030FAF09-B976-4E29-8339-51FC6B8F12F6}"/>
    <cellStyle name="Normal 5 3 4 7 3" xfId="6473" xr:uid="{00000000-0005-0000-0000-0000601A0000}"/>
    <cellStyle name="Normal 5 3 4 7 3 2" xfId="15799" xr:uid="{04DC6E91-81E5-4E4E-ABDF-BB508B5A7523}"/>
    <cellStyle name="Normal 5 3 4 7 3 3" xfId="24246" xr:uid="{D9AE20C9-DB72-40AF-8348-F2A4E4F02395}"/>
    <cellStyle name="Normal 5 3 4 7 4" xfId="11582" xr:uid="{FE378ABC-4497-4B10-9C1B-5464B32351D6}"/>
    <cellStyle name="Normal 5 3 4 7 5" xfId="20029" xr:uid="{357B985C-D0BB-494A-874D-F43F23207BB7}"/>
    <cellStyle name="Normal 5 3 4 8" xfId="2603" xr:uid="{00000000-0005-0000-0000-0000611A0000}"/>
    <cellStyle name="Normal 5 3 4 8 2" xfId="6886" xr:uid="{00000000-0005-0000-0000-0000621A0000}"/>
    <cellStyle name="Normal 5 3 4 8 2 2" xfId="16212" xr:uid="{B1E50F65-ABF7-41E6-86A9-73BE264F6761}"/>
    <cellStyle name="Normal 5 3 4 8 2 3" xfId="24659" xr:uid="{EEC3DEEC-2F76-432B-B7E1-8FCD45663345}"/>
    <cellStyle name="Normal 5 3 4 8 3" xfId="11995" xr:uid="{C8CBFEDA-86B6-4E5A-BA51-20DBF3AE4C36}"/>
    <cellStyle name="Normal 5 3 4 8 4" xfId="20442" xr:uid="{6B07621D-3EF6-4769-B203-DE806B7DB913}"/>
    <cellStyle name="Normal 5 3 4 9" xfId="4821" xr:uid="{00000000-0005-0000-0000-0000631A0000}"/>
    <cellStyle name="Normal 5 3 4 9 2" xfId="14147" xr:uid="{D6C142EC-0450-44A3-A482-3B2C351E9795}"/>
    <cellStyle name="Normal 5 3 4 9 3" xfId="22594" xr:uid="{A874DCF0-0A8D-4499-B741-C93B817F46AE}"/>
    <cellStyle name="Normal 5 3 5" xfId="453" xr:uid="{00000000-0005-0000-0000-0000641A0000}"/>
    <cellStyle name="Normal 5 3 5 10" xfId="9934" xr:uid="{7C0BA10D-A994-4719-BB57-0C4993FCDF6C}"/>
    <cellStyle name="Normal 5 3 5 11" xfId="18381" xr:uid="{98D2C2AC-3963-4758-A6A6-6682315CA46E}"/>
    <cellStyle name="Normal 5 3 5 2" xfId="454" xr:uid="{00000000-0005-0000-0000-0000651A0000}"/>
    <cellStyle name="Normal 5 3 5 2 10" xfId="18382" xr:uid="{0F2CB221-BC4B-4C1D-B86B-B2AE9EBEE4E8}"/>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24CBCC24-E25D-4AB6-ACCC-B52EC941F364}"/>
    <cellStyle name="Normal 5 3 5 2 2 2 2 3" xfId="25157" xr:uid="{D6657745-1E84-49D1-AAD3-C1932909378E}"/>
    <cellStyle name="Normal 5 3 5 2 2 2 3" xfId="12493" xr:uid="{86487791-39B3-4275-87CA-710F2313C0B5}"/>
    <cellStyle name="Normal 5 3 5 2 2 2 4" xfId="20940" xr:uid="{BFD2DB24-673B-4535-BFAF-2566586878B1}"/>
    <cellStyle name="Normal 5 3 5 2 2 3" xfId="5239" xr:uid="{00000000-0005-0000-0000-0000691A0000}"/>
    <cellStyle name="Normal 5 3 5 2 2 3 2" xfId="14565" xr:uid="{46B23879-95F1-4EA7-BF9E-6E7BC633D377}"/>
    <cellStyle name="Normal 5 3 5 2 2 3 3" xfId="23012" xr:uid="{2E11AD9D-67B2-4E37-BBFB-5E996018A491}"/>
    <cellStyle name="Normal 5 3 5 2 2 4" xfId="9485" xr:uid="{E88A0512-4544-44F7-B02F-696DEB177F8E}"/>
    <cellStyle name="Normal 5 3 5 2 2 5" xfId="10348" xr:uid="{70F7705F-46FC-4F08-A211-C373CC868841}"/>
    <cellStyle name="Normal 5 3 5 2 2 6" xfId="18795" xr:uid="{7AC7E8E8-626C-457B-995F-822D1992B1D9}"/>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D2481F21-6939-493F-8E53-E4D7DDC6531B}"/>
    <cellStyle name="Normal 5 3 5 2 3 2 2 3" xfId="25570" xr:uid="{28C43837-C084-4C55-8AAC-93B3DA79462A}"/>
    <cellStyle name="Normal 5 3 5 2 3 2 3" xfId="12906" xr:uid="{A307F8FC-4E9A-4684-AC1D-00356AE44CC5}"/>
    <cellStyle name="Normal 5 3 5 2 3 2 4" xfId="21353" xr:uid="{6C99953E-DF0C-4318-B2CA-D425767F9052}"/>
    <cellStyle name="Normal 5 3 5 2 3 3" xfId="5652" xr:uid="{00000000-0005-0000-0000-00006D1A0000}"/>
    <cellStyle name="Normal 5 3 5 2 3 3 2" xfId="14978" xr:uid="{9E3102C1-69CC-4625-A4C1-08A32C09D82E}"/>
    <cellStyle name="Normal 5 3 5 2 3 3 3" xfId="23425" xr:uid="{8CEC14BC-52D5-4E52-9C13-8CC603DB45B1}"/>
    <cellStyle name="Normal 5 3 5 2 3 4" xfId="10761" xr:uid="{3A40F3E8-5493-458D-AB2F-AEC0AFE8DDB4}"/>
    <cellStyle name="Normal 5 3 5 2 3 5" xfId="19208" xr:uid="{3328983C-58C9-4D70-8245-8D7A20A3416B}"/>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E8C75B56-D32A-43C6-AB2E-FADA7D09DEEA}"/>
    <cellStyle name="Normal 5 3 5 2 4 2 2 3" xfId="25983" xr:uid="{EF1A0D88-2126-402E-9991-30DB21BB6AB2}"/>
    <cellStyle name="Normal 5 3 5 2 4 2 3" xfId="13319" xr:uid="{8E4BDBB1-93B9-47EE-B322-9831A2E18865}"/>
    <cellStyle name="Normal 5 3 5 2 4 2 4" xfId="21766" xr:uid="{2B2D634D-1BBE-4F39-A565-FD7F31A13220}"/>
    <cellStyle name="Normal 5 3 5 2 4 3" xfId="6065" xr:uid="{00000000-0005-0000-0000-0000711A0000}"/>
    <cellStyle name="Normal 5 3 5 2 4 3 2" xfId="15391" xr:uid="{BB07BD11-4C9A-40DF-A7AA-974FD8A6B269}"/>
    <cellStyle name="Normal 5 3 5 2 4 3 3" xfId="23838" xr:uid="{B5ABAAFB-112E-4910-97AB-98106511D5EE}"/>
    <cellStyle name="Normal 5 3 5 2 4 4" xfId="11174" xr:uid="{70508216-7EBB-4748-9B8E-D789385C6F5D}"/>
    <cellStyle name="Normal 5 3 5 2 4 5" xfId="19621" xr:uid="{F7FE45C3-B35C-43B9-A442-7751BB79A9DA}"/>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5AB89320-C73F-4C4D-B75C-B5B82688DAC0}"/>
    <cellStyle name="Normal 5 3 5 2 5 2 2 3" xfId="26396" xr:uid="{EE3E8E50-0443-48DA-B8D2-B565A09F2C74}"/>
    <cellStyle name="Normal 5 3 5 2 5 2 3" xfId="13732" xr:uid="{7965D00B-FD17-4799-8222-F157480B78EE}"/>
    <cellStyle name="Normal 5 3 5 2 5 2 4" xfId="22179" xr:uid="{9B936D91-501C-4E8F-8FD5-C6F60DCDEA64}"/>
    <cellStyle name="Normal 5 3 5 2 5 3" xfId="6478" xr:uid="{00000000-0005-0000-0000-0000751A0000}"/>
    <cellStyle name="Normal 5 3 5 2 5 3 2" xfId="15804" xr:uid="{6DF88D2E-E04F-40B4-B0D4-A8A4FCCCD8A3}"/>
    <cellStyle name="Normal 5 3 5 2 5 3 3" xfId="24251" xr:uid="{588D1AAA-1ADB-427F-8C0F-3543A5364FF2}"/>
    <cellStyle name="Normal 5 3 5 2 5 4" xfId="11587" xr:uid="{54751C37-6CAC-4429-8E53-81D5F6148481}"/>
    <cellStyle name="Normal 5 3 5 2 5 5" xfId="20034" xr:uid="{B966522D-D23F-4387-8A00-627505BCF3AE}"/>
    <cellStyle name="Normal 5 3 5 2 6" xfId="2608" xr:uid="{00000000-0005-0000-0000-0000761A0000}"/>
    <cellStyle name="Normal 5 3 5 2 6 2" xfId="6891" xr:uid="{00000000-0005-0000-0000-0000771A0000}"/>
    <cellStyle name="Normal 5 3 5 2 6 2 2" xfId="16217" xr:uid="{90AC1C0F-A2D7-44BB-8638-CF266234ACAC}"/>
    <cellStyle name="Normal 5 3 5 2 6 2 3" xfId="24664" xr:uid="{95C096E7-F828-47DA-A3CA-A610EE06541A}"/>
    <cellStyle name="Normal 5 3 5 2 6 3" xfId="12000" xr:uid="{3996E821-17EA-4E24-AD92-78CB401022F1}"/>
    <cellStyle name="Normal 5 3 5 2 6 4" xfId="20447" xr:uid="{AEAFB54D-A1F3-4C80-A48C-D277F2EF6D50}"/>
    <cellStyle name="Normal 5 3 5 2 7" xfId="4826" xr:uid="{00000000-0005-0000-0000-0000781A0000}"/>
    <cellStyle name="Normal 5 3 5 2 7 2" xfId="14152" xr:uid="{725F3569-7700-406A-A40A-27AE08D88D41}"/>
    <cellStyle name="Normal 5 3 5 2 7 3" xfId="22599" xr:uid="{A5D19335-D7D2-4863-A506-1A4671DAFF05}"/>
    <cellStyle name="Normal 5 3 5 2 8" xfId="9060" xr:uid="{D76124DC-5753-46E4-97E7-1D76E6E20EEE}"/>
    <cellStyle name="Normal 5 3 5 2 9" xfId="9935" xr:uid="{BD44908B-0C6E-4FF2-9998-2262ED74CF3C}"/>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F5D03B17-FC64-4F2C-BBA3-A0A20ED32A90}"/>
    <cellStyle name="Normal 5 3 5 3 2 2 3" xfId="25156" xr:uid="{43D2565F-7B34-43AB-A2CE-1C82C6C38969}"/>
    <cellStyle name="Normal 5 3 5 3 2 3" xfId="12492" xr:uid="{3013CAE7-C7A2-4C59-B536-9A1FC013DB01}"/>
    <cellStyle name="Normal 5 3 5 3 2 4" xfId="20939" xr:uid="{8E13EF84-EECC-4C80-AB9E-613C41082F61}"/>
    <cellStyle name="Normal 5 3 5 3 3" xfId="5238" xr:uid="{00000000-0005-0000-0000-00007C1A0000}"/>
    <cellStyle name="Normal 5 3 5 3 3 2" xfId="14564" xr:uid="{A1D94698-D56B-4606-8558-158A0C521547}"/>
    <cellStyle name="Normal 5 3 5 3 3 3" xfId="23011" xr:uid="{DA05446C-AF92-4CC3-974C-9CF3661A9F62}"/>
    <cellStyle name="Normal 5 3 5 3 4" xfId="9278" xr:uid="{6197750A-97CA-41EF-A67C-63E25EE58E9E}"/>
    <cellStyle name="Normal 5 3 5 3 5" xfId="10347" xr:uid="{0D487431-E16E-44AD-BCDF-58BC0E365DD9}"/>
    <cellStyle name="Normal 5 3 5 3 6" xfId="18794" xr:uid="{CA7D44D7-D881-4E4D-83C6-BF16BEF033A7}"/>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2478438C-58FF-4E48-9B53-4368A3F85CCE}"/>
    <cellStyle name="Normal 5 3 5 4 2 2 3" xfId="25569" xr:uid="{1A4E9C88-FAF8-4DBE-86C1-FD9A538E0676}"/>
    <cellStyle name="Normal 5 3 5 4 2 3" xfId="12905" xr:uid="{7C25D105-24DA-4224-84EB-4BC56EB915C7}"/>
    <cellStyle name="Normal 5 3 5 4 2 4" xfId="21352" xr:uid="{7FA6B50A-F654-447F-99CB-D51845381A19}"/>
    <cellStyle name="Normal 5 3 5 4 3" xfId="5651" xr:uid="{00000000-0005-0000-0000-0000801A0000}"/>
    <cellStyle name="Normal 5 3 5 4 3 2" xfId="14977" xr:uid="{6EDD3DB4-F10C-4F7C-86DC-ADCBD85A5CD4}"/>
    <cellStyle name="Normal 5 3 5 4 3 3" xfId="23424" xr:uid="{6ADBB482-3E63-4785-8DFD-3117B884DD63}"/>
    <cellStyle name="Normal 5 3 5 4 4" xfId="10760" xr:uid="{6AF363BF-4B9A-4B04-9105-9E76B88AB515}"/>
    <cellStyle name="Normal 5 3 5 4 5" xfId="19207" xr:uid="{2DA82599-3353-4C22-A1C7-97DE9DE0E27E}"/>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19B4FE3F-C001-4695-B952-8B51C8A75521}"/>
    <cellStyle name="Normal 5 3 5 5 2 2 3" xfId="25982" xr:uid="{59CE45E8-EED6-4371-A09C-2B7733616444}"/>
    <cellStyle name="Normal 5 3 5 5 2 3" xfId="13318" xr:uid="{83F6FEC4-22C2-4CB7-8B8F-090E2911F81D}"/>
    <cellStyle name="Normal 5 3 5 5 2 4" xfId="21765" xr:uid="{EE925B3C-1C1D-4315-B72D-AA50E4596C75}"/>
    <cellStyle name="Normal 5 3 5 5 3" xfId="6064" xr:uid="{00000000-0005-0000-0000-0000841A0000}"/>
    <cellStyle name="Normal 5 3 5 5 3 2" xfId="15390" xr:uid="{A8988B22-88D3-4576-A619-D0C381167639}"/>
    <cellStyle name="Normal 5 3 5 5 3 3" xfId="23837" xr:uid="{7F8EC1D7-8E42-4DB8-B231-BE188DEA1253}"/>
    <cellStyle name="Normal 5 3 5 5 4" xfId="11173" xr:uid="{EE11DCCE-D30A-40A1-9421-71A7716DDA42}"/>
    <cellStyle name="Normal 5 3 5 5 5" xfId="19620" xr:uid="{29659418-8E6F-443E-A9DC-A74FA2CFCFDA}"/>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4C3D4CBF-E7FD-464E-90C8-671784DB549A}"/>
    <cellStyle name="Normal 5 3 5 6 2 2 3" xfId="26395" xr:uid="{3DDFCA65-250E-49A9-B6E5-53E7EA8A0AD7}"/>
    <cellStyle name="Normal 5 3 5 6 2 3" xfId="13731" xr:uid="{61B6964E-C5C6-4B45-BCFF-122D23CD8C76}"/>
    <cellStyle name="Normal 5 3 5 6 2 4" xfId="22178" xr:uid="{558D4AB6-8FB8-4314-8A1B-D84C643833CF}"/>
    <cellStyle name="Normal 5 3 5 6 3" xfId="6477" xr:uid="{00000000-0005-0000-0000-0000881A0000}"/>
    <cellStyle name="Normal 5 3 5 6 3 2" xfId="15803" xr:uid="{DA9220FA-5F54-4348-8D55-D5025B111806}"/>
    <cellStyle name="Normal 5 3 5 6 3 3" xfId="24250" xr:uid="{5A5CCEB1-30B7-4A7D-A292-D6F253678A79}"/>
    <cellStyle name="Normal 5 3 5 6 4" xfId="11586" xr:uid="{059AF9D3-AA51-4C3C-82C1-F8B3226D9678}"/>
    <cellStyle name="Normal 5 3 5 6 5" xfId="20033" xr:uid="{00CA3FCF-33E2-4CD4-9096-5C68240C0DF6}"/>
    <cellStyle name="Normal 5 3 5 7" xfId="2607" xr:uid="{00000000-0005-0000-0000-0000891A0000}"/>
    <cellStyle name="Normal 5 3 5 7 2" xfId="6890" xr:uid="{00000000-0005-0000-0000-00008A1A0000}"/>
    <cellStyle name="Normal 5 3 5 7 2 2" xfId="16216" xr:uid="{847A7A54-D5EE-4FFA-83E9-D265A9838831}"/>
    <cellStyle name="Normal 5 3 5 7 2 3" xfId="24663" xr:uid="{D1EA74B7-74F4-4033-BF33-54E8A9E4A688}"/>
    <cellStyle name="Normal 5 3 5 7 3" xfId="11999" xr:uid="{5074F0CB-A34B-49B4-8D6A-E6C3B8022691}"/>
    <cellStyle name="Normal 5 3 5 7 4" xfId="20446" xr:uid="{41E23CD7-6539-4E05-ACC4-B29E67051693}"/>
    <cellStyle name="Normal 5 3 5 8" xfId="4825" xr:uid="{00000000-0005-0000-0000-00008B1A0000}"/>
    <cellStyle name="Normal 5 3 5 8 2" xfId="14151" xr:uid="{97D8C7FA-44DD-4A1A-AE71-2B8063CE2DDF}"/>
    <cellStyle name="Normal 5 3 5 8 3" xfId="22598" xr:uid="{FE8596F9-F766-4DB8-84AF-99A3AA8BF6B3}"/>
    <cellStyle name="Normal 5 3 5 9" xfId="8853" xr:uid="{049FA2CE-003F-47C1-A264-645323886F35}"/>
    <cellStyle name="Normal 5 3 6" xfId="455" xr:uid="{00000000-0005-0000-0000-00008C1A0000}"/>
    <cellStyle name="Normal 5 3 6 10" xfId="18383" xr:uid="{3C46A219-F9CC-4BB8-B179-F66DC3EC0693}"/>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CDC2DA53-B41B-4CE9-9499-C83F22639F3B}"/>
    <cellStyle name="Normal 5 3 6 2 2 2 3" xfId="25158" xr:uid="{4395023F-E5B0-4599-A6DD-568C92DF021C}"/>
    <cellStyle name="Normal 5 3 6 2 2 3" xfId="12494" xr:uid="{D1AB946E-4157-4555-AEA3-DED8C75BB89E}"/>
    <cellStyle name="Normal 5 3 6 2 2 4" xfId="20941" xr:uid="{7E15183B-1318-4591-B854-06466479CCE8}"/>
    <cellStyle name="Normal 5 3 6 2 3" xfId="5240" xr:uid="{00000000-0005-0000-0000-0000901A0000}"/>
    <cellStyle name="Normal 5 3 6 2 3 2" xfId="14566" xr:uid="{1B368B81-8B44-4ED9-AC6D-DA066267C2EC}"/>
    <cellStyle name="Normal 5 3 6 2 3 3" xfId="23013" xr:uid="{06883836-4803-481E-9342-5A897531B468}"/>
    <cellStyle name="Normal 5 3 6 2 4" xfId="9394" xr:uid="{040FDD8C-10C9-4583-9A6E-8F76047ECA0C}"/>
    <cellStyle name="Normal 5 3 6 2 5" xfId="10349" xr:uid="{3F28B17E-3591-48A8-A249-0599065B397C}"/>
    <cellStyle name="Normal 5 3 6 2 6" xfId="18796" xr:uid="{EB7E11B7-E77D-44B3-9E4A-8C37C942B73D}"/>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FAF866A4-9263-46AB-82AF-65F743EFD875}"/>
    <cellStyle name="Normal 5 3 6 3 2 2 3" xfId="25571" xr:uid="{F1D0D2DC-479D-4702-91EF-79B8A368DA9C}"/>
    <cellStyle name="Normal 5 3 6 3 2 3" xfId="12907" xr:uid="{97121A67-F537-472D-BBA4-909D1BF5FCC1}"/>
    <cellStyle name="Normal 5 3 6 3 2 4" xfId="21354" xr:uid="{43455A65-5BF9-4D93-A8D6-B7ADC01189A1}"/>
    <cellStyle name="Normal 5 3 6 3 3" xfId="5653" xr:uid="{00000000-0005-0000-0000-0000941A0000}"/>
    <cellStyle name="Normal 5 3 6 3 3 2" xfId="14979" xr:uid="{B09BFE53-3A75-4869-BADD-6D1D88A181BF}"/>
    <cellStyle name="Normal 5 3 6 3 3 3" xfId="23426" xr:uid="{788A0165-0B57-4074-9886-A32E88260D9C}"/>
    <cellStyle name="Normal 5 3 6 3 4" xfId="10762" xr:uid="{EDCDC441-9F18-48BA-A3D0-84AFAB82DE12}"/>
    <cellStyle name="Normal 5 3 6 3 5" xfId="19209" xr:uid="{6266B122-E4CF-4527-BB4E-029A63FCE4C9}"/>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854FD9F8-CB86-400F-B460-C3B78513A023}"/>
    <cellStyle name="Normal 5 3 6 4 2 2 3" xfId="25984" xr:uid="{48AA11F1-479A-4480-A8D4-4297FD2E35FF}"/>
    <cellStyle name="Normal 5 3 6 4 2 3" xfId="13320" xr:uid="{CAEDA21A-A83F-4232-86E1-AC653F31ACF8}"/>
    <cellStyle name="Normal 5 3 6 4 2 4" xfId="21767" xr:uid="{8470EEB1-7292-47A9-BE25-4B53540468A7}"/>
    <cellStyle name="Normal 5 3 6 4 3" xfId="6066" xr:uid="{00000000-0005-0000-0000-0000981A0000}"/>
    <cellStyle name="Normal 5 3 6 4 3 2" xfId="15392" xr:uid="{CE6BDA08-4F63-4CCC-9947-28DEC86036AA}"/>
    <cellStyle name="Normal 5 3 6 4 3 3" xfId="23839" xr:uid="{9EB85998-53F7-47EF-AA41-6859C25A61FB}"/>
    <cellStyle name="Normal 5 3 6 4 4" xfId="11175" xr:uid="{43312F89-D1B0-44A9-863A-9FA96D75FBC1}"/>
    <cellStyle name="Normal 5 3 6 4 5" xfId="19622" xr:uid="{8AC79C9E-CD62-4F42-B08B-57768E7D54F7}"/>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CDDBD285-5C72-4480-8A3B-7067B091B372}"/>
    <cellStyle name="Normal 5 3 6 5 2 2 3" xfId="26397" xr:uid="{8446078C-B421-4D06-B0DA-887F94D8BC6B}"/>
    <cellStyle name="Normal 5 3 6 5 2 3" xfId="13733" xr:uid="{3AEC5AFF-B63A-40B1-A31B-ACF7A3573AAB}"/>
    <cellStyle name="Normal 5 3 6 5 2 4" xfId="22180" xr:uid="{D944A875-8A95-48C8-ADFA-3E26C3139936}"/>
    <cellStyle name="Normal 5 3 6 5 3" xfId="6479" xr:uid="{00000000-0005-0000-0000-00009C1A0000}"/>
    <cellStyle name="Normal 5 3 6 5 3 2" xfId="15805" xr:uid="{803894FC-0067-4634-B3BD-564E78F3B1AF}"/>
    <cellStyle name="Normal 5 3 6 5 3 3" xfId="24252" xr:uid="{BD0B8A18-B499-4A6D-B783-DB02EFDD2AE5}"/>
    <cellStyle name="Normal 5 3 6 5 4" xfId="11588" xr:uid="{3B1D4F5E-7E70-4D5E-8C8B-3381F158DDB1}"/>
    <cellStyle name="Normal 5 3 6 5 5" xfId="20035" xr:uid="{A9371D23-99BE-43FB-8F72-37B07A68D516}"/>
    <cellStyle name="Normal 5 3 6 6" xfId="2609" xr:uid="{00000000-0005-0000-0000-00009D1A0000}"/>
    <cellStyle name="Normal 5 3 6 6 2" xfId="6892" xr:uid="{00000000-0005-0000-0000-00009E1A0000}"/>
    <cellStyle name="Normal 5 3 6 6 2 2" xfId="16218" xr:uid="{0A662A56-BED3-4022-8F61-F65484057D16}"/>
    <cellStyle name="Normal 5 3 6 6 2 3" xfId="24665" xr:uid="{7B457211-843D-4B46-AA27-43FBFCCCFBD1}"/>
    <cellStyle name="Normal 5 3 6 6 3" xfId="12001" xr:uid="{6D2597C9-31AC-4119-B51C-C855080784B5}"/>
    <cellStyle name="Normal 5 3 6 6 4" xfId="20448" xr:uid="{6EB63D3C-F97E-46CA-AF4B-08F248397C70}"/>
    <cellStyle name="Normal 5 3 6 7" xfId="4827" xr:uid="{00000000-0005-0000-0000-00009F1A0000}"/>
    <cellStyle name="Normal 5 3 6 7 2" xfId="14153" xr:uid="{3C7D73F9-5813-4C96-8DBE-26DCACA1985E}"/>
    <cellStyle name="Normal 5 3 6 7 3" xfId="22600" xr:uid="{449ACC41-4B49-4F4D-9E95-731D835957A3}"/>
    <cellStyle name="Normal 5 3 6 8" xfId="8969" xr:uid="{FA7ABEAF-BFEA-4D3E-A53B-E23F3117BFD8}"/>
    <cellStyle name="Normal 5 3 6 9" xfId="9936" xr:uid="{FA4D8B90-2DD4-4E3F-B12B-A32312775964}"/>
    <cellStyle name="Normal 5 3 7" xfId="913" xr:uid="{00000000-0005-0000-0000-0000A01A0000}"/>
    <cellStyle name="Normal 5 3 7 2" xfId="3148" xr:uid="{00000000-0005-0000-0000-0000A11A0000}"/>
    <cellStyle name="Normal 5 3 7 2 2" xfId="7370" xr:uid="{00000000-0005-0000-0000-0000A21A0000}"/>
    <cellStyle name="Normal 5 3 7 2 2 2" xfId="16696" xr:uid="{9B4CAC4E-91E8-483B-A1E6-A901D283CCEF}"/>
    <cellStyle name="Normal 5 3 7 2 2 3" xfId="25143" xr:uid="{6235D92D-EDFC-4C6A-9C69-AD28138E3F2E}"/>
    <cellStyle name="Normal 5 3 7 2 3" xfId="12479" xr:uid="{8C8372CE-888E-4FCC-84EF-94A1B6A1AA24}"/>
    <cellStyle name="Normal 5 3 7 2 4" xfId="20926" xr:uid="{87BD7217-0F3E-4DAB-A811-C997AAC28BC4}"/>
    <cellStyle name="Normal 5 3 7 3" xfId="5225" xr:uid="{00000000-0005-0000-0000-0000A31A0000}"/>
    <cellStyle name="Normal 5 3 7 3 2" xfId="14551" xr:uid="{9EDD638A-15E8-4562-BDCE-8B221046B6B0}"/>
    <cellStyle name="Normal 5 3 7 3 3" xfId="22998" xr:uid="{3B64400F-9E27-4B4A-AB46-926AA11BC0EA}"/>
    <cellStyle name="Normal 5 3 7 4" xfId="9172" xr:uid="{5609ABAF-B913-41DD-9CCE-B28C6A880815}"/>
    <cellStyle name="Normal 5 3 7 5" xfId="10334" xr:uid="{59783A50-8864-4AEB-8D31-61BC09E163A4}"/>
    <cellStyle name="Normal 5 3 7 6" xfId="18781" xr:uid="{5A756D63-5248-4633-B48F-D6AA79299400}"/>
    <cellStyle name="Normal 5 3 8" xfId="1331" xr:uid="{00000000-0005-0000-0000-0000A41A0000}"/>
    <cellStyle name="Normal 5 3 8 2" xfId="3561" xr:uid="{00000000-0005-0000-0000-0000A51A0000}"/>
    <cellStyle name="Normal 5 3 8 2 2" xfId="7783" xr:uid="{00000000-0005-0000-0000-0000A61A0000}"/>
    <cellStyle name="Normal 5 3 8 2 2 2" xfId="17109" xr:uid="{D49489E6-146A-4E98-9B8E-C0F98777EA7F}"/>
    <cellStyle name="Normal 5 3 8 2 2 3" xfId="25556" xr:uid="{082604ED-F0CC-4885-A58B-21D4C54F2070}"/>
    <cellStyle name="Normal 5 3 8 2 3" xfId="12892" xr:uid="{3A846ABF-7A71-46DF-9E69-E40A23E5756D}"/>
    <cellStyle name="Normal 5 3 8 2 4" xfId="21339" xr:uid="{0B2DA3C7-934A-45D2-BE98-AC7A84EE8EFB}"/>
    <cellStyle name="Normal 5 3 8 3" xfId="5638" xr:uid="{00000000-0005-0000-0000-0000A71A0000}"/>
    <cellStyle name="Normal 5 3 8 3 2" xfId="14964" xr:uid="{74EE27ED-735B-46BD-BE4C-F1E8F5F6E2C6}"/>
    <cellStyle name="Normal 5 3 8 3 3" xfId="23411" xr:uid="{9D7EB104-2D02-44CA-93B0-585B5F767E7E}"/>
    <cellStyle name="Normal 5 3 8 4" xfId="10747" xr:uid="{F0378B37-A8BB-4CFB-BE0C-9A6350869189}"/>
    <cellStyle name="Normal 5 3 8 5" xfId="19194" xr:uid="{53BB022A-FC31-431C-B99E-B53D5478B46F}"/>
    <cellStyle name="Normal 5 3 9" xfId="1744" xr:uid="{00000000-0005-0000-0000-0000A81A0000}"/>
    <cellStyle name="Normal 5 3 9 2" xfId="3974" xr:uid="{00000000-0005-0000-0000-0000A91A0000}"/>
    <cellStyle name="Normal 5 3 9 2 2" xfId="8196" xr:uid="{00000000-0005-0000-0000-0000AA1A0000}"/>
    <cellStyle name="Normal 5 3 9 2 2 2" xfId="17522" xr:uid="{1D144114-5C42-422E-BBD1-4C74237E7EA6}"/>
    <cellStyle name="Normal 5 3 9 2 2 3" xfId="25969" xr:uid="{F6BE9FC3-AAAD-4368-88DB-5C5E58563A6C}"/>
    <cellStyle name="Normal 5 3 9 2 3" xfId="13305" xr:uid="{1C49C0DC-EA58-46AC-914C-1C7B3B337EAC}"/>
    <cellStyle name="Normal 5 3 9 2 4" xfId="21752" xr:uid="{E1BFD43E-6E55-4CFB-B80B-B670554516BB}"/>
    <cellStyle name="Normal 5 3 9 3" xfId="6051" xr:uid="{00000000-0005-0000-0000-0000AB1A0000}"/>
    <cellStyle name="Normal 5 3 9 3 2" xfId="15377" xr:uid="{64C60C61-803B-471D-B4A7-7105D40359AF}"/>
    <cellStyle name="Normal 5 3 9 3 3" xfId="23824" xr:uid="{9D95124E-ECB2-4A9E-9EC9-A3072E87E2FC}"/>
    <cellStyle name="Normal 5 3 9 4" xfId="11160" xr:uid="{A09434CF-A0A6-4ABD-8BAE-FA6CEB7D351D}"/>
    <cellStyle name="Normal 5 3 9 5" xfId="19607" xr:uid="{1DAE3A27-2427-47A0-9A97-A4AB35DB8331}"/>
    <cellStyle name="Normal 5 4" xfId="456" xr:uid="{00000000-0005-0000-0000-0000AC1A0000}"/>
    <cellStyle name="Normal 5 4 10" xfId="4828" xr:uid="{00000000-0005-0000-0000-0000AD1A0000}"/>
    <cellStyle name="Normal 5 4 10 2" xfId="14154" xr:uid="{B1A466A2-6910-40D7-881F-777DAAFB70BC}"/>
    <cellStyle name="Normal 5 4 10 3" xfId="22601" xr:uid="{D9A16EC8-12B5-4815-8BBA-1EA6EECBD3B3}"/>
    <cellStyle name="Normal 5 4 11" xfId="8773" xr:uid="{50472F80-32FD-428C-B078-8DE338D6CA16}"/>
    <cellStyle name="Normal 5 4 12" xfId="9937" xr:uid="{E54A0511-5CE3-4589-82B2-0BFA0FB9801D}"/>
    <cellStyle name="Normal 5 4 13" xfId="18384" xr:uid="{99543FD6-279B-4A9C-8339-AC2F743B1555}"/>
    <cellStyle name="Normal 5 4 2" xfId="457" xr:uid="{00000000-0005-0000-0000-0000AE1A0000}"/>
    <cellStyle name="Normal 5 4 2 10" xfId="8833" xr:uid="{6EA55230-8E5B-4EF6-B83C-8DF4202F8C31}"/>
    <cellStyle name="Normal 5 4 2 11" xfId="9938" xr:uid="{129151DB-D9ED-4E6D-852C-C37258FE0A85}"/>
    <cellStyle name="Normal 5 4 2 12" xfId="18385" xr:uid="{17FF863B-8708-4ED3-81EC-43C82DC64778}"/>
    <cellStyle name="Normal 5 4 2 2" xfId="458" xr:uid="{00000000-0005-0000-0000-0000AF1A0000}"/>
    <cellStyle name="Normal 5 4 2 2 10" xfId="9939" xr:uid="{F39E3BBE-6A55-4A31-8215-97901445EA91}"/>
    <cellStyle name="Normal 5 4 2 2 11" xfId="18386" xr:uid="{7A80388A-847E-4854-B93F-B0280ADEDF94}"/>
    <cellStyle name="Normal 5 4 2 2 2" xfId="459" xr:uid="{00000000-0005-0000-0000-0000B01A0000}"/>
    <cellStyle name="Normal 5 4 2 2 2 10" xfId="18387" xr:uid="{01425BCD-6D36-4980-A459-1292E3969E65}"/>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59CEE1C7-D639-457C-9C03-B4816D3743D1}"/>
    <cellStyle name="Normal 5 4 2 2 2 2 2 2 3" xfId="25162" xr:uid="{D73F8106-29EE-47A3-B2AD-858A3E9DE8BF}"/>
    <cellStyle name="Normal 5 4 2 2 2 2 2 3" xfId="12498" xr:uid="{433AF438-36DC-467F-962D-C370D3B2A03A}"/>
    <cellStyle name="Normal 5 4 2 2 2 2 2 4" xfId="20945" xr:uid="{939F3305-C6CD-4F93-87D3-6B7E5ECD63F9}"/>
    <cellStyle name="Normal 5 4 2 2 2 2 3" xfId="5244" xr:uid="{00000000-0005-0000-0000-0000B41A0000}"/>
    <cellStyle name="Normal 5 4 2 2 2 2 3 2" xfId="14570" xr:uid="{E1F605D1-4EAD-41B7-87E4-A6392F0B4358}"/>
    <cellStyle name="Normal 5 4 2 2 2 2 3 3" xfId="23017" xr:uid="{25E18B98-9ED6-4BC3-8AF7-05A394F2292D}"/>
    <cellStyle name="Normal 5 4 2 2 2 2 4" xfId="9568" xr:uid="{C9922021-D284-4633-BD4E-F2DB1197482A}"/>
    <cellStyle name="Normal 5 4 2 2 2 2 5" xfId="10353" xr:uid="{D0451EA4-CE2E-49F4-B2A8-8B8ED080B52B}"/>
    <cellStyle name="Normal 5 4 2 2 2 2 6" xfId="18800" xr:uid="{791E7EC0-EF74-438E-A1EF-B3BE20BE5B5E}"/>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1C5AD011-9C7E-40E7-87C5-CCEB24AA2C8A}"/>
    <cellStyle name="Normal 5 4 2 2 2 3 2 2 3" xfId="25575" xr:uid="{DD459645-A04A-4E87-B6F5-F4C8AA5FD023}"/>
    <cellStyle name="Normal 5 4 2 2 2 3 2 3" xfId="12911" xr:uid="{9756AD0E-4269-40C7-89E6-B528F939BD4D}"/>
    <cellStyle name="Normal 5 4 2 2 2 3 2 4" xfId="21358" xr:uid="{B02803FD-3817-43A7-AAB9-DD2DAE9709C3}"/>
    <cellStyle name="Normal 5 4 2 2 2 3 3" xfId="5657" xr:uid="{00000000-0005-0000-0000-0000B81A0000}"/>
    <cellStyle name="Normal 5 4 2 2 2 3 3 2" xfId="14983" xr:uid="{F68132C3-07DB-48F9-8E2D-D71FB7033C0E}"/>
    <cellStyle name="Normal 5 4 2 2 2 3 3 3" xfId="23430" xr:uid="{AD42AA75-EEF2-45FB-9873-11EFAE8AEB77}"/>
    <cellStyle name="Normal 5 4 2 2 2 3 4" xfId="10766" xr:uid="{74CB862A-1EF2-43E6-929B-D4978FF13575}"/>
    <cellStyle name="Normal 5 4 2 2 2 3 5" xfId="19213" xr:uid="{DFFF2187-F648-4FB3-9870-AE6244E460C3}"/>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021783CA-D1FB-47DE-9094-A793466C3C35}"/>
    <cellStyle name="Normal 5 4 2 2 2 4 2 2 3" xfId="25988" xr:uid="{768B338C-1C58-4428-A0E1-D66EA51096D5}"/>
    <cellStyle name="Normal 5 4 2 2 2 4 2 3" xfId="13324" xr:uid="{1250ACFC-B8E7-4DE9-9EA5-421E869ECBE4}"/>
    <cellStyle name="Normal 5 4 2 2 2 4 2 4" xfId="21771" xr:uid="{41C55256-2DF4-4A8A-8562-B917102DEEA2}"/>
    <cellStyle name="Normal 5 4 2 2 2 4 3" xfId="6070" xr:uid="{00000000-0005-0000-0000-0000BC1A0000}"/>
    <cellStyle name="Normal 5 4 2 2 2 4 3 2" xfId="15396" xr:uid="{E29DF546-5D14-43AA-A68A-FF737545649E}"/>
    <cellStyle name="Normal 5 4 2 2 2 4 3 3" xfId="23843" xr:uid="{3FEDC753-9E3B-4D6E-9714-B24A46AF3371}"/>
    <cellStyle name="Normal 5 4 2 2 2 4 4" xfId="11179" xr:uid="{B151C788-4E16-4B1D-9718-92EB94A8D7D4}"/>
    <cellStyle name="Normal 5 4 2 2 2 4 5" xfId="19626" xr:uid="{E80B8DF1-4AB4-472C-917A-DA15473A5C4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3D5A17BC-9E41-4F8A-82A9-291491D0CFB1}"/>
    <cellStyle name="Normal 5 4 2 2 2 5 2 2 3" xfId="26401" xr:uid="{592CD86A-0EC9-4F41-BC67-6B3DF5B22AC4}"/>
    <cellStyle name="Normal 5 4 2 2 2 5 2 3" xfId="13737" xr:uid="{F6288ADE-3B8D-4AC2-A74D-FA48D052273C}"/>
    <cellStyle name="Normal 5 4 2 2 2 5 2 4" xfId="22184" xr:uid="{7380095F-D492-4036-9B44-7AA41629872F}"/>
    <cellStyle name="Normal 5 4 2 2 2 5 3" xfId="6483" xr:uid="{00000000-0005-0000-0000-0000C01A0000}"/>
    <cellStyle name="Normal 5 4 2 2 2 5 3 2" xfId="15809" xr:uid="{2EC462A7-F9C3-469B-990A-334C44559ECC}"/>
    <cellStyle name="Normal 5 4 2 2 2 5 3 3" xfId="24256" xr:uid="{357D6003-BCB6-47C7-8BF8-C251246C84C2}"/>
    <cellStyle name="Normal 5 4 2 2 2 5 4" xfId="11592" xr:uid="{36562DF6-6572-42A6-B8E3-2FD01B104225}"/>
    <cellStyle name="Normal 5 4 2 2 2 5 5" xfId="20039" xr:uid="{EFAC7FA2-1005-4F48-B07D-DA7C8127914A}"/>
    <cellStyle name="Normal 5 4 2 2 2 6" xfId="2613" xr:uid="{00000000-0005-0000-0000-0000C11A0000}"/>
    <cellStyle name="Normal 5 4 2 2 2 6 2" xfId="6896" xr:uid="{00000000-0005-0000-0000-0000C21A0000}"/>
    <cellStyle name="Normal 5 4 2 2 2 6 2 2" xfId="16222" xr:uid="{257D433A-2C6A-46EB-BC4B-091271C1C984}"/>
    <cellStyle name="Normal 5 4 2 2 2 6 2 3" xfId="24669" xr:uid="{4DCCBC71-46A8-43B8-B20D-83577917F142}"/>
    <cellStyle name="Normal 5 4 2 2 2 6 3" xfId="12005" xr:uid="{96FE9FC5-F70C-40FA-BECF-BC0965E0BDC9}"/>
    <cellStyle name="Normal 5 4 2 2 2 6 4" xfId="20452" xr:uid="{B3A426F7-84D6-4D8A-B674-E7C1C3D71F25}"/>
    <cellStyle name="Normal 5 4 2 2 2 7" xfId="4831" xr:uid="{00000000-0005-0000-0000-0000C31A0000}"/>
    <cellStyle name="Normal 5 4 2 2 2 7 2" xfId="14157" xr:uid="{31983FCC-275A-4721-BEE4-12ED03286915}"/>
    <cellStyle name="Normal 5 4 2 2 2 7 3" xfId="22604" xr:uid="{DA4725DB-2524-4DEF-AB2D-7BCF53E213DD}"/>
    <cellStyle name="Normal 5 4 2 2 2 8" xfId="9143" xr:uid="{C8F15FA9-FDFE-4358-95A8-17B14299B14C}"/>
    <cellStyle name="Normal 5 4 2 2 2 9" xfId="9940" xr:uid="{4239B96C-B135-46A0-9AF3-441A0CB459EE}"/>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2A06D306-A123-41A9-B5C9-D67B38DBA3FF}"/>
    <cellStyle name="Normal 5 4 2 2 3 2 2 3" xfId="25161" xr:uid="{0BCBC72A-2BBB-4DD4-87D4-1FF0F9CB2D50}"/>
    <cellStyle name="Normal 5 4 2 2 3 2 3" xfId="12497" xr:uid="{514C8A44-F6E6-4EA8-B0BC-EFE972D2DDD0}"/>
    <cellStyle name="Normal 5 4 2 2 3 2 4" xfId="20944" xr:uid="{218F0234-5FAB-4B91-BE8B-D49DDF3657FE}"/>
    <cellStyle name="Normal 5 4 2 2 3 3" xfId="5243" xr:uid="{00000000-0005-0000-0000-0000C71A0000}"/>
    <cellStyle name="Normal 5 4 2 2 3 3 2" xfId="14569" xr:uid="{04038AF3-31B1-467A-A5DC-8F2DC5138F6A}"/>
    <cellStyle name="Normal 5 4 2 2 3 3 3" xfId="23016" xr:uid="{EA64A233-3484-4307-BDDB-4B15812EA7EE}"/>
    <cellStyle name="Normal 5 4 2 2 3 4" xfId="9361" xr:uid="{421F0FC8-8E8F-498F-BD31-B00CB58D5B43}"/>
    <cellStyle name="Normal 5 4 2 2 3 5" xfId="10352" xr:uid="{2CC32AB4-5DE1-4BB0-AD10-9A7CAAB89EC8}"/>
    <cellStyle name="Normal 5 4 2 2 3 6" xfId="18799" xr:uid="{E773A4ED-8588-4317-A21A-0BBCA59FF08D}"/>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283EBCAF-3C3D-4E4A-AEA0-1249CFA1124A}"/>
    <cellStyle name="Normal 5 4 2 2 4 2 2 3" xfId="25574" xr:uid="{C40ABD01-7391-484B-9CE2-2A52261FCFBE}"/>
    <cellStyle name="Normal 5 4 2 2 4 2 3" xfId="12910" xr:uid="{FB379CE7-837B-4BD6-B108-EBA5FB152745}"/>
    <cellStyle name="Normal 5 4 2 2 4 2 4" xfId="21357" xr:uid="{CDA850B3-9C3C-4E8C-AE8E-5733ED954244}"/>
    <cellStyle name="Normal 5 4 2 2 4 3" xfId="5656" xr:uid="{00000000-0005-0000-0000-0000CB1A0000}"/>
    <cellStyle name="Normal 5 4 2 2 4 3 2" xfId="14982" xr:uid="{7FABD89E-CD22-4771-A790-914A63C83CE7}"/>
    <cellStyle name="Normal 5 4 2 2 4 3 3" xfId="23429" xr:uid="{EA758DFA-9DC7-48B8-B44D-A3B09DC653F0}"/>
    <cellStyle name="Normal 5 4 2 2 4 4" xfId="10765" xr:uid="{323720F4-C953-4C9C-AFC1-FC9D607DB8AC}"/>
    <cellStyle name="Normal 5 4 2 2 4 5" xfId="19212" xr:uid="{F118047E-8B1C-4D25-AE69-6AEB385AFB30}"/>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FAFD138E-8E76-4CBD-80CB-8E0B93B578BD}"/>
    <cellStyle name="Normal 5 4 2 2 5 2 2 3" xfId="25987" xr:uid="{43D5A8AD-1D59-40FB-9AED-33347FEE98AF}"/>
    <cellStyle name="Normal 5 4 2 2 5 2 3" xfId="13323" xr:uid="{E1C69048-6567-4D06-ABBC-A708C4252EC5}"/>
    <cellStyle name="Normal 5 4 2 2 5 2 4" xfId="21770" xr:uid="{CFBDAB83-6F8F-4AD4-870B-FE0D91358E17}"/>
    <cellStyle name="Normal 5 4 2 2 5 3" xfId="6069" xr:uid="{00000000-0005-0000-0000-0000CF1A0000}"/>
    <cellStyle name="Normal 5 4 2 2 5 3 2" xfId="15395" xr:uid="{BFA1EBB0-5176-4ADB-8DA4-B1DB7449FDF7}"/>
    <cellStyle name="Normal 5 4 2 2 5 3 3" xfId="23842" xr:uid="{D3DBA1F3-2678-4C42-BF46-7519022551A6}"/>
    <cellStyle name="Normal 5 4 2 2 5 4" xfId="11178" xr:uid="{B1B0CC48-3B94-41D8-A8F0-6FC9617DF9D8}"/>
    <cellStyle name="Normal 5 4 2 2 5 5" xfId="19625" xr:uid="{EBE6BCD4-3BE9-4C9D-B89A-407DB700F1E9}"/>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31228EF8-21EE-4457-A51F-6FE89EEA8990}"/>
    <cellStyle name="Normal 5 4 2 2 6 2 2 3" xfId="26400" xr:uid="{74BC00A2-99FA-492A-950D-2E519168E98A}"/>
    <cellStyle name="Normal 5 4 2 2 6 2 3" xfId="13736" xr:uid="{4B72C6AF-66C5-49F4-AFF3-9DC45AD7A728}"/>
    <cellStyle name="Normal 5 4 2 2 6 2 4" xfId="22183" xr:uid="{09B6006E-698B-4A09-A466-48D79AFC3371}"/>
    <cellStyle name="Normal 5 4 2 2 6 3" xfId="6482" xr:uid="{00000000-0005-0000-0000-0000D31A0000}"/>
    <cellStyle name="Normal 5 4 2 2 6 3 2" xfId="15808" xr:uid="{0AF84C87-192F-440D-B9ED-7F9193F2C8A1}"/>
    <cellStyle name="Normal 5 4 2 2 6 3 3" xfId="24255" xr:uid="{F435E9E6-A43C-4FBE-9835-D13B2A8B99E3}"/>
    <cellStyle name="Normal 5 4 2 2 6 4" xfId="11591" xr:uid="{A9A48D96-B0DC-41FF-8FBE-F3AFC40B38EE}"/>
    <cellStyle name="Normal 5 4 2 2 6 5" xfId="20038" xr:uid="{3DE7CF91-B9AC-41F0-9821-6BA3F1E9EF9B}"/>
    <cellStyle name="Normal 5 4 2 2 7" xfId="2612" xr:uid="{00000000-0005-0000-0000-0000D41A0000}"/>
    <cellStyle name="Normal 5 4 2 2 7 2" xfId="6895" xr:uid="{00000000-0005-0000-0000-0000D51A0000}"/>
    <cellStyle name="Normal 5 4 2 2 7 2 2" xfId="16221" xr:uid="{5F03E12D-9B26-44D2-B529-46C15ECEE288}"/>
    <cellStyle name="Normal 5 4 2 2 7 2 3" xfId="24668" xr:uid="{5C181EB3-E71F-498A-AC01-4AEE42223C92}"/>
    <cellStyle name="Normal 5 4 2 2 7 3" xfId="12004" xr:uid="{A71CADBD-000F-4BB1-9C9D-6E155649D768}"/>
    <cellStyle name="Normal 5 4 2 2 7 4" xfId="20451" xr:uid="{AA13BAC4-4DCC-421B-9B02-3D8688353B61}"/>
    <cellStyle name="Normal 5 4 2 2 8" xfId="4830" xr:uid="{00000000-0005-0000-0000-0000D61A0000}"/>
    <cellStyle name="Normal 5 4 2 2 8 2" xfId="14156" xr:uid="{693D9EEA-3AE2-4006-BBFF-3E3F3A59A3CF}"/>
    <cellStyle name="Normal 5 4 2 2 8 3" xfId="22603" xr:uid="{A45BC674-C685-4019-9612-ABE4F031F41E}"/>
    <cellStyle name="Normal 5 4 2 2 9" xfId="8936" xr:uid="{31CF7A09-919D-40D2-B5FD-098CEA44D314}"/>
    <cellStyle name="Normal 5 4 2 3" xfId="460" xr:uid="{00000000-0005-0000-0000-0000D71A0000}"/>
    <cellStyle name="Normal 5 4 2 3 10" xfId="18388" xr:uid="{28C82C00-C4BF-434D-B645-131A31A473C9}"/>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5ED4432F-0AB9-4992-B681-A69B1723B009}"/>
    <cellStyle name="Normal 5 4 2 3 2 2 2 3" xfId="25163" xr:uid="{77A5F3C7-6EA6-467B-97E6-5916A0F400F4}"/>
    <cellStyle name="Normal 5 4 2 3 2 2 3" xfId="12499" xr:uid="{BA5CA4FC-7F33-49BA-9FEE-AB5CA62E8454}"/>
    <cellStyle name="Normal 5 4 2 3 2 2 4" xfId="20946" xr:uid="{CB90C324-62F8-425D-B061-9B906AE7AE94}"/>
    <cellStyle name="Normal 5 4 2 3 2 3" xfId="5245" xr:uid="{00000000-0005-0000-0000-0000DB1A0000}"/>
    <cellStyle name="Normal 5 4 2 3 2 3 2" xfId="14571" xr:uid="{036479E6-7000-4706-8303-FA3EBBF0D296}"/>
    <cellStyle name="Normal 5 4 2 3 2 3 3" xfId="23018" xr:uid="{FBE202F2-67F0-4A0A-88AB-781535D8FBEC}"/>
    <cellStyle name="Normal 5 4 2 3 2 4" xfId="9465" xr:uid="{B8459C73-266B-467B-A163-FFDFF015A460}"/>
    <cellStyle name="Normal 5 4 2 3 2 5" xfId="10354" xr:uid="{2F5D141F-4730-4B3D-8CD0-4D717BD9CC5E}"/>
    <cellStyle name="Normal 5 4 2 3 2 6" xfId="18801" xr:uid="{12CF65D9-76A4-4574-B2E2-F6590F5E5C91}"/>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A7847DDF-118D-4AA0-92C2-AAE2EF2D1B8C}"/>
    <cellStyle name="Normal 5 4 2 3 3 2 2 3" xfId="25576" xr:uid="{97E0364C-35E5-4E5B-8646-4159E71BD95F}"/>
    <cellStyle name="Normal 5 4 2 3 3 2 3" xfId="12912" xr:uid="{F345B02C-C6E1-48F0-992B-E55120BEDA7D}"/>
    <cellStyle name="Normal 5 4 2 3 3 2 4" xfId="21359" xr:uid="{FD78B333-D38E-4EAC-B627-F1477EEA7CEC}"/>
    <cellStyle name="Normal 5 4 2 3 3 3" xfId="5658" xr:uid="{00000000-0005-0000-0000-0000DF1A0000}"/>
    <cellStyle name="Normal 5 4 2 3 3 3 2" xfId="14984" xr:uid="{AD52DDE6-655B-427B-AC40-FBBB77B36C0B}"/>
    <cellStyle name="Normal 5 4 2 3 3 3 3" xfId="23431" xr:uid="{495A787F-9850-45D3-9AB9-7C5643F10087}"/>
    <cellStyle name="Normal 5 4 2 3 3 4" xfId="10767" xr:uid="{ABC6150F-F177-41C5-82AD-DD8E5D547660}"/>
    <cellStyle name="Normal 5 4 2 3 3 5" xfId="19214" xr:uid="{D8482D36-2BDC-4512-A334-04690BCFA992}"/>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13264935-1C13-4533-84DD-C8172C9C15D9}"/>
    <cellStyle name="Normal 5 4 2 3 4 2 2 3" xfId="25989" xr:uid="{103692FA-A829-4C5C-8129-F3B35C0577A8}"/>
    <cellStyle name="Normal 5 4 2 3 4 2 3" xfId="13325" xr:uid="{55B805B4-E22B-4E7C-A56C-67FEB57911C9}"/>
    <cellStyle name="Normal 5 4 2 3 4 2 4" xfId="21772" xr:uid="{169A6EDC-A4E0-433B-B634-C478E98C2733}"/>
    <cellStyle name="Normal 5 4 2 3 4 3" xfId="6071" xr:uid="{00000000-0005-0000-0000-0000E31A0000}"/>
    <cellStyle name="Normal 5 4 2 3 4 3 2" xfId="15397" xr:uid="{DBBE61E8-7897-40D3-8A82-1784D78B25B5}"/>
    <cellStyle name="Normal 5 4 2 3 4 3 3" xfId="23844" xr:uid="{2FE75CAB-2F5A-43DA-9909-CB283C7EC5F4}"/>
    <cellStyle name="Normal 5 4 2 3 4 4" xfId="11180" xr:uid="{E873E04A-D470-4CE9-B190-73674F9CA60D}"/>
    <cellStyle name="Normal 5 4 2 3 4 5" xfId="19627" xr:uid="{47760308-6468-48CC-A965-4DD4BF943CC5}"/>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50EBC0CB-F4FE-412B-9710-EC6B071F7026}"/>
    <cellStyle name="Normal 5 4 2 3 5 2 2 3" xfId="26402" xr:uid="{448071A0-D741-4685-B090-43DF7EDE6036}"/>
    <cellStyle name="Normal 5 4 2 3 5 2 3" xfId="13738" xr:uid="{4B5B1638-5D07-49A1-BA35-2EB71F1A89B0}"/>
    <cellStyle name="Normal 5 4 2 3 5 2 4" xfId="22185" xr:uid="{BD6A81AF-EEFA-423E-B16C-F8F8AF25B634}"/>
    <cellStyle name="Normal 5 4 2 3 5 3" xfId="6484" xr:uid="{00000000-0005-0000-0000-0000E71A0000}"/>
    <cellStyle name="Normal 5 4 2 3 5 3 2" xfId="15810" xr:uid="{CCD66144-4D5B-4893-8884-8676503B9037}"/>
    <cellStyle name="Normal 5 4 2 3 5 3 3" xfId="24257" xr:uid="{29BDC4F7-12E4-48C5-A50C-4FAF4EA70E8C}"/>
    <cellStyle name="Normal 5 4 2 3 5 4" xfId="11593" xr:uid="{D58567E4-9A10-4526-AFD6-48965D8B6977}"/>
    <cellStyle name="Normal 5 4 2 3 5 5" xfId="20040" xr:uid="{CD845B95-76E8-4876-9085-29FF71172FAC}"/>
    <cellStyle name="Normal 5 4 2 3 6" xfId="2614" xr:uid="{00000000-0005-0000-0000-0000E81A0000}"/>
    <cellStyle name="Normal 5 4 2 3 6 2" xfId="6897" xr:uid="{00000000-0005-0000-0000-0000E91A0000}"/>
    <cellStyle name="Normal 5 4 2 3 6 2 2" xfId="16223" xr:uid="{8105E26E-827B-43EB-BBFF-22B6B1F80BA4}"/>
    <cellStyle name="Normal 5 4 2 3 6 2 3" xfId="24670" xr:uid="{E9D99F10-EF60-4238-ACA0-73E0237465F5}"/>
    <cellStyle name="Normal 5 4 2 3 6 3" xfId="12006" xr:uid="{FA5C052C-8429-43B9-97CE-DC9330896E96}"/>
    <cellStyle name="Normal 5 4 2 3 6 4" xfId="20453" xr:uid="{5442B0A1-2022-4563-9AAF-4A6F961190B0}"/>
    <cellStyle name="Normal 5 4 2 3 7" xfId="4832" xr:uid="{00000000-0005-0000-0000-0000EA1A0000}"/>
    <cellStyle name="Normal 5 4 2 3 7 2" xfId="14158" xr:uid="{98817E7B-7407-47A9-A2BE-F5EFED12892B}"/>
    <cellStyle name="Normal 5 4 2 3 7 3" xfId="22605" xr:uid="{F952C756-0DFA-4EE0-B94C-CE87A313B528}"/>
    <cellStyle name="Normal 5 4 2 3 8" xfId="9040" xr:uid="{D68CAB17-BB41-4D9B-AA76-76FE511392DC}"/>
    <cellStyle name="Normal 5 4 2 3 9" xfId="9941" xr:uid="{272E803D-B183-433A-9361-C97BD6F360F9}"/>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9E071E4F-418E-4F9B-B097-6DE474E182CF}"/>
    <cellStyle name="Normal 5 4 2 4 2 2 3" xfId="25160" xr:uid="{56560521-079B-418B-91ED-FA524196B858}"/>
    <cellStyle name="Normal 5 4 2 4 2 3" xfId="12496" xr:uid="{0BDF9FE0-E470-493D-837E-6B502951A525}"/>
    <cellStyle name="Normal 5 4 2 4 2 4" xfId="20943" xr:uid="{25FC8DEF-509E-46E7-B63A-84852C8D88C4}"/>
    <cellStyle name="Normal 5 4 2 4 3" xfId="5242" xr:uid="{00000000-0005-0000-0000-0000EE1A0000}"/>
    <cellStyle name="Normal 5 4 2 4 3 2" xfId="14568" xr:uid="{B68F39AC-AE60-441F-A731-5DDB9F115C8A}"/>
    <cellStyle name="Normal 5 4 2 4 3 3" xfId="23015" xr:uid="{F945953B-B0D3-4DDD-8F97-CC73B8F4084B}"/>
    <cellStyle name="Normal 5 4 2 4 4" xfId="9258" xr:uid="{971C48A9-8200-405B-A9BE-B3AFD2CDDA76}"/>
    <cellStyle name="Normal 5 4 2 4 5" xfId="10351" xr:uid="{2BAB9458-34BB-48A3-9C25-FFABD85AA22D}"/>
    <cellStyle name="Normal 5 4 2 4 6" xfId="18798" xr:uid="{21036260-BC36-4950-BC36-08C280C4F596}"/>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520E0582-0321-44A0-98AE-1EA99302F6BB}"/>
    <cellStyle name="Normal 5 4 2 5 2 2 3" xfId="25573" xr:uid="{07CE65A5-35B0-46B2-818F-6AB3DD6CDB25}"/>
    <cellStyle name="Normal 5 4 2 5 2 3" xfId="12909" xr:uid="{F59F03C1-B30B-4F8C-9BAD-087C864A22BC}"/>
    <cellStyle name="Normal 5 4 2 5 2 4" xfId="21356" xr:uid="{5FD2BB13-D735-46F6-ACAB-EE9C46A8CCA1}"/>
    <cellStyle name="Normal 5 4 2 5 3" xfId="5655" xr:uid="{00000000-0005-0000-0000-0000F21A0000}"/>
    <cellStyle name="Normal 5 4 2 5 3 2" xfId="14981" xr:uid="{5E0522E5-0182-475E-9266-81BD34D85E5B}"/>
    <cellStyle name="Normal 5 4 2 5 3 3" xfId="23428" xr:uid="{4524DFA5-F7EA-4F08-9A51-5C6DDB1975F5}"/>
    <cellStyle name="Normal 5 4 2 5 4" xfId="10764" xr:uid="{D62F9DF2-1507-4C88-9C9A-8B23F488DA32}"/>
    <cellStyle name="Normal 5 4 2 5 5" xfId="19211" xr:uid="{3C5BAACC-8E94-4949-96D3-EED60B117479}"/>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3E72E001-A72B-40E9-9265-EC678F2DFE57}"/>
    <cellStyle name="Normal 5 4 2 6 2 2 3" xfId="25986" xr:uid="{53AF7B99-F33E-4A64-8C57-C14E82C9BED5}"/>
    <cellStyle name="Normal 5 4 2 6 2 3" xfId="13322" xr:uid="{68C55601-CE64-45F9-8BB6-C3E518CA0740}"/>
    <cellStyle name="Normal 5 4 2 6 2 4" xfId="21769" xr:uid="{00C724A0-8A77-4C2F-8330-49586C128D40}"/>
    <cellStyle name="Normal 5 4 2 6 3" xfId="6068" xr:uid="{00000000-0005-0000-0000-0000F61A0000}"/>
    <cellStyle name="Normal 5 4 2 6 3 2" xfId="15394" xr:uid="{BBD949BA-D1C2-4327-924B-D30D9B874F3A}"/>
    <cellStyle name="Normal 5 4 2 6 3 3" xfId="23841" xr:uid="{22ADA972-8A74-44C7-8F8E-FFAAC5D726AF}"/>
    <cellStyle name="Normal 5 4 2 6 4" xfId="11177" xr:uid="{DB7B25DD-9AA8-431F-A51B-37623EA3F0D6}"/>
    <cellStyle name="Normal 5 4 2 6 5" xfId="19624" xr:uid="{BCF1FC87-C5DE-4BC4-AD18-9EDE84A4FBA2}"/>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6E2E3AE4-AA8C-455B-89DD-C3FB64AEE89B}"/>
    <cellStyle name="Normal 5 4 2 7 2 2 3" xfId="26399" xr:uid="{4AC69CE2-E29B-43EC-A2D9-39D66A77CD04}"/>
    <cellStyle name="Normal 5 4 2 7 2 3" xfId="13735" xr:uid="{6CDC226C-8C6D-44C8-8A67-65C1A730918F}"/>
    <cellStyle name="Normal 5 4 2 7 2 4" xfId="22182" xr:uid="{25D6CA03-9897-46B6-A00A-186E907E0260}"/>
    <cellStyle name="Normal 5 4 2 7 3" xfId="6481" xr:uid="{00000000-0005-0000-0000-0000FA1A0000}"/>
    <cellStyle name="Normal 5 4 2 7 3 2" xfId="15807" xr:uid="{86146714-D9F8-4148-8C78-EB22FDC5504B}"/>
    <cellStyle name="Normal 5 4 2 7 3 3" xfId="24254" xr:uid="{9F748F9C-D161-4999-A8AC-B57BC8C50DD2}"/>
    <cellStyle name="Normal 5 4 2 7 4" xfId="11590" xr:uid="{E9B56019-8E2F-467F-B67C-470EA84CD6ED}"/>
    <cellStyle name="Normal 5 4 2 7 5" xfId="20037" xr:uid="{F7CFDF87-E1B3-4848-B5DC-F18196D9A540}"/>
    <cellStyle name="Normal 5 4 2 8" xfId="2611" xr:uid="{00000000-0005-0000-0000-0000FB1A0000}"/>
    <cellStyle name="Normal 5 4 2 8 2" xfId="6894" xr:uid="{00000000-0005-0000-0000-0000FC1A0000}"/>
    <cellStyle name="Normal 5 4 2 8 2 2" xfId="16220" xr:uid="{2630519A-9F8B-434F-A8AF-512025647218}"/>
    <cellStyle name="Normal 5 4 2 8 2 3" xfId="24667" xr:uid="{411C86C2-D613-4D44-B05F-8E2BC4ABE207}"/>
    <cellStyle name="Normal 5 4 2 8 3" xfId="12003" xr:uid="{27935CB1-896A-4108-A4BC-F0062FC921E1}"/>
    <cellStyle name="Normal 5 4 2 8 4" xfId="20450" xr:uid="{38894F46-42DD-4CFB-A274-7552D96EC65E}"/>
    <cellStyle name="Normal 5 4 2 9" xfId="4829" xr:uid="{00000000-0005-0000-0000-0000FD1A0000}"/>
    <cellStyle name="Normal 5 4 2 9 2" xfId="14155" xr:uid="{D54A433D-B016-43A8-82CC-EB2534BCA302}"/>
    <cellStyle name="Normal 5 4 2 9 3" xfId="22602" xr:uid="{C04E27FA-42E4-4CE9-B7ED-63658AD29112}"/>
    <cellStyle name="Normal 5 4 3" xfId="461" xr:uid="{00000000-0005-0000-0000-0000FE1A0000}"/>
    <cellStyle name="Normal 5 4 3 10" xfId="9942" xr:uid="{E2619930-9260-4398-9429-9050F5DF503C}"/>
    <cellStyle name="Normal 5 4 3 11" xfId="18389" xr:uid="{60AFDDA7-BB3D-4726-ACD6-B8F3B4981C45}"/>
    <cellStyle name="Normal 5 4 3 2" xfId="462" xr:uid="{00000000-0005-0000-0000-0000FF1A0000}"/>
    <cellStyle name="Normal 5 4 3 2 10" xfId="18390" xr:uid="{D8F6ED66-9940-457B-B4F1-FEEDF356B483}"/>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103A7EFF-79FE-4F61-9AF3-13B541AECE7F}"/>
    <cellStyle name="Normal 5 4 3 2 2 2 2 3" xfId="25165" xr:uid="{992AF1CB-1122-4496-AD9B-958370D96440}"/>
    <cellStyle name="Normal 5 4 3 2 2 2 3" xfId="12501" xr:uid="{D6E84665-3E67-4870-8BE4-1C710B88E729}"/>
    <cellStyle name="Normal 5 4 3 2 2 2 4" xfId="20948" xr:uid="{EAC5689C-DD6D-4A1C-B0E2-73B94A6F1710}"/>
    <cellStyle name="Normal 5 4 3 2 2 3" xfId="5247" xr:uid="{00000000-0005-0000-0000-0000031B0000}"/>
    <cellStyle name="Normal 5 4 3 2 2 3 2" xfId="14573" xr:uid="{97C3BFAB-5144-49F9-AA86-5FF1C0D5B177}"/>
    <cellStyle name="Normal 5 4 3 2 2 3 3" xfId="23020" xr:uid="{BCD57CE9-3B25-466A-984B-B0FFAC7978BE}"/>
    <cellStyle name="Normal 5 4 3 2 2 4" xfId="9508" xr:uid="{1F9B5A8F-2A45-43C5-9422-E8BC84424A55}"/>
    <cellStyle name="Normal 5 4 3 2 2 5" xfId="10356" xr:uid="{A0FFDEE9-B6F0-481E-9600-DAAE9FE6F69D}"/>
    <cellStyle name="Normal 5 4 3 2 2 6" xfId="18803" xr:uid="{5A84D264-F579-4146-8F17-B83BF2B6D9E3}"/>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38D1ADDD-FA65-4701-9193-C2A26A556E7A}"/>
    <cellStyle name="Normal 5 4 3 2 3 2 2 3" xfId="25578" xr:uid="{7AE65A2C-D5A8-4413-95EF-8B9963E46142}"/>
    <cellStyle name="Normal 5 4 3 2 3 2 3" xfId="12914" xr:uid="{777A88BB-062A-4638-B67E-B2B9ED980B61}"/>
    <cellStyle name="Normal 5 4 3 2 3 2 4" xfId="21361" xr:uid="{32DF8D5D-4C19-43BE-B995-2090E1F5B1AD}"/>
    <cellStyle name="Normal 5 4 3 2 3 3" xfId="5660" xr:uid="{00000000-0005-0000-0000-0000071B0000}"/>
    <cellStyle name="Normal 5 4 3 2 3 3 2" xfId="14986" xr:uid="{50360B4A-8CD5-4389-9AED-76A5DBF64605}"/>
    <cellStyle name="Normal 5 4 3 2 3 3 3" xfId="23433" xr:uid="{5D564A91-FF2B-410F-BF4F-68B80C96B024}"/>
    <cellStyle name="Normal 5 4 3 2 3 4" xfId="10769" xr:uid="{2E1A72AB-FC86-44C6-8A7D-378B2E7EF3F2}"/>
    <cellStyle name="Normal 5 4 3 2 3 5" xfId="19216" xr:uid="{85EF8C4C-3808-4481-80DD-F6E17055463D}"/>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A7E3B836-96FB-411F-A6B5-7D459B1D28F1}"/>
    <cellStyle name="Normal 5 4 3 2 4 2 2 3" xfId="25991" xr:uid="{F159D59C-6340-43E0-AEEA-F3E55FE90810}"/>
    <cellStyle name="Normal 5 4 3 2 4 2 3" xfId="13327" xr:uid="{B54F08CD-58B3-4E51-A487-716C851B4D0A}"/>
    <cellStyle name="Normal 5 4 3 2 4 2 4" xfId="21774" xr:uid="{DDE1D525-E5A6-477C-B1B6-B114D6DD19AB}"/>
    <cellStyle name="Normal 5 4 3 2 4 3" xfId="6073" xr:uid="{00000000-0005-0000-0000-00000B1B0000}"/>
    <cellStyle name="Normal 5 4 3 2 4 3 2" xfId="15399" xr:uid="{52BD0A24-E3B2-4AE2-AB18-04FA24F24C98}"/>
    <cellStyle name="Normal 5 4 3 2 4 3 3" xfId="23846" xr:uid="{3BEA0FCE-65EF-4B41-A103-E805BDD6C5C6}"/>
    <cellStyle name="Normal 5 4 3 2 4 4" xfId="11182" xr:uid="{C59D837A-45F3-42A7-BBAC-46DA3300F431}"/>
    <cellStyle name="Normal 5 4 3 2 4 5" xfId="19629" xr:uid="{36041605-F29D-4538-AF9E-2E915605B518}"/>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593C00BF-4687-4099-8B5F-731DC82C8452}"/>
    <cellStyle name="Normal 5 4 3 2 5 2 2 3" xfId="26404" xr:uid="{F5F2B20D-4ED4-4B9A-BC19-B489ED80E7CA}"/>
    <cellStyle name="Normal 5 4 3 2 5 2 3" xfId="13740" xr:uid="{B41937F0-1102-4B2A-85D3-E084D7042D92}"/>
    <cellStyle name="Normal 5 4 3 2 5 2 4" xfId="22187" xr:uid="{348932C4-6316-4A74-833D-A45CDD74BCD4}"/>
    <cellStyle name="Normal 5 4 3 2 5 3" xfId="6486" xr:uid="{00000000-0005-0000-0000-00000F1B0000}"/>
    <cellStyle name="Normal 5 4 3 2 5 3 2" xfId="15812" xr:uid="{D7DD24F3-3150-44C7-98B9-0209E2681930}"/>
    <cellStyle name="Normal 5 4 3 2 5 3 3" xfId="24259" xr:uid="{6D9C01DC-04FC-4DCB-8894-2FA5E66FC6A5}"/>
    <cellStyle name="Normal 5 4 3 2 5 4" xfId="11595" xr:uid="{37D4E012-2E2E-4D04-860C-2C5784882360}"/>
    <cellStyle name="Normal 5 4 3 2 5 5" xfId="20042" xr:uid="{34D74BDE-389A-488F-A591-4E54F40DECC3}"/>
    <cellStyle name="Normal 5 4 3 2 6" xfId="2616" xr:uid="{00000000-0005-0000-0000-0000101B0000}"/>
    <cellStyle name="Normal 5 4 3 2 6 2" xfId="6899" xr:uid="{00000000-0005-0000-0000-0000111B0000}"/>
    <cellStyle name="Normal 5 4 3 2 6 2 2" xfId="16225" xr:uid="{7D417ED1-AC0B-4720-86B3-4258C0C277CF}"/>
    <cellStyle name="Normal 5 4 3 2 6 2 3" xfId="24672" xr:uid="{A522876F-71EA-4137-9196-79001D8236C1}"/>
    <cellStyle name="Normal 5 4 3 2 6 3" xfId="12008" xr:uid="{1D8C8FC6-DF10-4B89-B822-B8FC42B4340A}"/>
    <cellStyle name="Normal 5 4 3 2 6 4" xfId="20455" xr:uid="{CE80A8B0-FF64-4CDA-AE21-194B73266485}"/>
    <cellStyle name="Normal 5 4 3 2 7" xfId="4834" xr:uid="{00000000-0005-0000-0000-0000121B0000}"/>
    <cellStyle name="Normal 5 4 3 2 7 2" xfId="14160" xr:uid="{533655AD-F0C2-4FD6-A972-206455E943F5}"/>
    <cellStyle name="Normal 5 4 3 2 7 3" xfId="22607" xr:uid="{15F6B5B4-045A-4A69-AEC6-ED1F329D7475}"/>
    <cellStyle name="Normal 5 4 3 2 8" xfId="9083" xr:uid="{206384C8-6AD8-4D28-8F99-3033A80D68FC}"/>
    <cellStyle name="Normal 5 4 3 2 9" xfId="9943" xr:uid="{8A2BA7E0-BF20-4EB2-971A-6459B2F4672D}"/>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42B46092-B9FF-4FD9-A590-A33CFC4DDF4F}"/>
    <cellStyle name="Normal 5 4 3 3 2 2 3" xfId="25164" xr:uid="{32D22EF1-8401-48E4-8443-71F014A5B23A}"/>
    <cellStyle name="Normal 5 4 3 3 2 3" xfId="12500" xr:uid="{FDF43718-AFD6-4E8B-9580-51DD25114693}"/>
    <cellStyle name="Normal 5 4 3 3 2 4" xfId="20947" xr:uid="{D5A517FF-16A7-44DE-8D69-0EEA4AC70E83}"/>
    <cellStyle name="Normal 5 4 3 3 3" xfId="5246" xr:uid="{00000000-0005-0000-0000-0000161B0000}"/>
    <cellStyle name="Normal 5 4 3 3 3 2" xfId="14572" xr:uid="{720E1FF4-EE37-4E4C-A12A-7C80A4098607}"/>
    <cellStyle name="Normal 5 4 3 3 3 3" xfId="23019" xr:uid="{835F1574-BDE0-4E08-AF15-1AC8633B4DDE}"/>
    <cellStyle name="Normal 5 4 3 3 4" xfId="9301" xr:uid="{CB02BBE7-2E3D-4C67-A62E-BA84DE882039}"/>
    <cellStyle name="Normal 5 4 3 3 5" xfId="10355" xr:uid="{5C9CA729-CFC5-4973-ADB7-5729D47A1A4D}"/>
    <cellStyle name="Normal 5 4 3 3 6" xfId="18802" xr:uid="{14302A1A-61F3-4CEC-A00A-8FCB821E0C9E}"/>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9A33CC27-45E2-452F-88EE-EB0A12B8C1D1}"/>
    <cellStyle name="Normal 5 4 3 4 2 2 3" xfId="25577" xr:uid="{0999BE29-3E49-4668-9218-D456141CD244}"/>
    <cellStyle name="Normal 5 4 3 4 2 3" xfId="12913" xr:uid="{57DB03C8-605E-41E4-AB1B-27EC202BA7D5}"/>
    <cellStyle name="Normal 5 4 3 4 2 4" xfId="21360" xr:uid="{6337484D-AF5F-48AF-891E-0B76791B0049}"/>
    <cellStyle name="Normal 5 4 3 4 3" xfId="5659" xr:uid="{00000000-0005-0000-0000-00001A1B0000}"/>
    <cellStyle name="Normal 5 4 3 4 3 2" xfId="14985" xr:uid="{8A40CDA1-B5FD-4A9E-8FAB-4B6FAE53F252}"/>
    <cellStyle name="Normal 5 4 3 4 3 3" xfId="23432" xr:uid="{278073ED-C472-49C3-B011-DC006D92367C}"/>
    <cellStyle name="Normal 5 4 3 4 4" xfId="10768" xr:uid="{FC2223A8-C1AE-4C90-B917-D90F344CA0FE}"/>
    <cellStyle name="Normal 5 4 3 4 5" xfId="19215" xr:uid="{B61392FE-0ED6-43E1-813F-A654C267808F}"/>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D4097A47-D4D6-4D71-A7A3-FA9296B49CC1}"/>
    <cellStyle name="Normal 5 4 3 5 2 2 3" xfId="25990" xr:uid="{18D08290-6C19-4091-B2A2-66F0A105952F}"/>
    <cellStyle name="Normal 5 4 3 5 2 3" xfId="13326" xr:uid="{F37F47D9-62B5-439A-A4F1-EA962F41EF4F}"/>
    <cellStyle name="Normal 5 4 3 5 2 4" xfId="21773" xr:uid="{3CA196B2-8F3C-4802-824E-730F807F223C}"/>
    <cellStyle name="Normal 5 4 3 5 3" xfId="6072" xr:uid="{00000000-0005-0000-0000-00001E1B0000}"/>
    <cellStyle name="Normal 5 4 3 5 3 2" xfId="15398" xr:uid="{BC72A792-D786-4902-885C-3FD9F2A13036}"/>
    <cellStyle name="Normal 5 4 3 5 3 3" xfId="23845" xr:uid="{62079C73-9947-4BAB-8EE0-926FC49C71D4}"/>
    <cellStyle name="Normal 5 4 3 5 4" xfId="11181" xr:uid="{567260C5-B2EB-45D3-AC02-F6E9B6848291}"/>
    <cellStyle name="Normal 5 4 3 5 5" xfId="19628" xr:uid="{55942871-7453-41DB-8BE0-9765E5C31794}"/>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45729196-A380-494A-A78B-35F46A1E0F94}"/>
    <cellStyle name="Normal 5 4 3 6 2 2 3" xfId="26403" xr:uid="{A8DC424A-F785-42DB-8045-5F9D68A519E4}"/>
    <cellStyle name="Normal 5 4 3 6 2 3" xfId="13739" xr:uid="{BDBEBE62-0733-412C-AF56-A002AD419E32}"/>
    <cellStyle name="Normal 5 4 3 6 2 4" xfId="22186" xr:uid="{65A41C7B-D79E-4DE0-A34C-67FB9A0DD80C}"/>
    <cellStyle name="Normal 5 4 3 6 3" xfId="6485" xr:uid="{00000000-0005-0000-0000-0000221B0000}"/>
    <cellStyle name="Normal 5 4 3 6 3 2" xfId="15811" xr:uid="{32DF182C-78CB-4533-A376-FE07DB126202}"/>
    <cellStyle name="Normal 5 4 3 6 3 3" xfId="24258" xr:uid="{B3216001-4F84-4908-AD94-CAE33457C862}"/>
    <cellStyle name="Normal 5 4 3 6 4" xfId="11594" xr:uid="{772CB6F0-2D6B-4D31-89A1-0FD2813DA3D9}"/>
    <cellStyle name="Normal 5 4 3 6 5" xfId="20041" xr:uid="{6575CBE8-7AF0-44C5-A909-DFBFE264C136}"/>
    <cellStyle name="Normal 5 4 3 7" xfId="2615" xr:uid="{00000000-0005-0000-0000-0000231B0000}"/>
    <cellStyle name="Normal 5 4 3 7 2" xfId="6898" xr:uid="{00000000-0005-0000-0000-0000241B0000}"/>
    <cellStyle name="Normal 5 4 3 7 2 2" xfId="16224" xr:uid="{590BC015-8A45-4EC0-8944-CDA5A668E2FC}"/>
    <cellStyle name="Normal 5 4 3 7 2 3" xfId="24671" xr:uid="{C5A28595-B849-4593-B021-85868346A4A3}"/>
    <cellStyle name="Normal 5 4 3 7 3" xfId="12007" xr:uid="{A082FF81-A0F1-451E-8231-C682D81FEAFE}"/>
    <cellStyle name="Normal 5 4 3 7 4" xfId="20454" xr:uid="{6D43547C-7987-4B88-9175-9284B43356B9}"/>
    <cellStyle name="Normal 5 4 3 8" xfId="4833" xr:uid="{00000000-0005-0000-0000-0000251B0000}"/>
    <cellStyle name="Normal 5 4 3 8 2" xfId="14159" xr:uid="{F249D847-4CFB-4031-B177-F50A929C4628}"/>
    <cellStyle name="Normal 5 4 3 8 3" xfId="22606" xr:uid="{227034B6-5B01-4BF8-9BD2-D12567CE82D4}"/>
    <cellStyle name="Normal 5 4 3 9" xfId="8876" xr:uid="{D636A598-175F-46A4-8005-1A20EC6CCEC9}"/>
    <cellStyle name="Normal 5 4 4" xfId="463" xr:uid="{00000000-0005-0000-0000-0000261B0000}"/>
    <cellStyle name="Normal 5 4 4 10" xfId="18391" xr:uid="{B340629A-22A5-42B8-88A4-4F8C26383F1A}"/>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AD9143EE-3E96-48D5-ACB5-3B787B6D169A}"/>
    <cellStyle name="Normal 5 4 4 2 2 2 3" xfId="25166" xr:uid="{DDC4FCE3-FE99-48CC-8B89-4F44AC44FD4A}"/>
    <cellStyle name="Normal 5 4 4 2 2 3" xfId="12502" xr:uid="{C8CB743D-9299-4A21-9A82-EDC0F1F3735B}"/>
    <cellStyle name="Normal 5 4 4 2 2 4" xfId="20949" xr:uid="{7544DA2E-89AF-4D20-90A0-C6AD43D0BD31}"/>
    <cellStyle name="Normal 5 4 4 2 3" xfId="5248" xr:uid="{00000000-0005-0000-0000-00002A1B0000}"/>
    <cellStyle name="Normal 5 4 4 2 3 2" xfId="14574" xr:uid="{F2335922-7646-4DDB-B2E2-25BA99F8289D}"/>
    <cellStyle name="Normal 5 4 4 2 3 3" xfId="23021" xr:uid="{5065493D-924B-4CB6-83AA-C5B96414CE77}"/>
    <cellStyle name="Normal 5 4 4 2 4" xfId="9405" xr:uid="{F05DE0DC-A0AA-4CEB-9ABC-0D70F781B819}"/>
    <cellStyle name="Normal 5 4 4 2 5" xfId="10357" xr:uid="{68117D58-3723-4ED8-9C5A-4B2806E9F571}"/>
    <cellStyle name="Normal 5 4 4 2 6" xfId="18804" xr:uid="{21BEC7F5-D0B8-49AB-BF5C-232854BD58CA}"/>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EB409565-7D08-436F-AD6B-7E49E90D313E}"/>
    <cellStyle name="Normal 5 4 4 3 2 2 3" xfId="25579" xr:uid="{3841514D-FBA6-4B2E-924C-D60473D79E16}"/>
    <cellStyle name="Normal 5 4 4 3 2 3" xfId="12915" xr:uid="{2940FCC1-1D86-4DBA-A929-E1E47DEF1D0D}"/>
    <cellStyle name="Normal 5 4 4 3 2 4" xfId="21362" xr:uid="{53F23EAB-00C5-4507-B274-22E430EB043A}"/>
    <cellStyle name="Normal 5 4 4 3 3" xfId="5661" xr:uid="{00000000-0005-0000-0000-00002E1B0000}"/>
    <cellStyle name="Normal 5 4 4 3 3 2" xfId="14987" xr:uid="{1149015F-3679-4641-AFA4-55489EF60C58}"/>
    <cellStyle name="Normal 5 4 4 3 3 3" xfId="23434" xr:uid="{AAF8CEF8-D494-4E9C-9951-A626CDE5764A}"/>
    <cellStyle name="Normal 5 4 4 3 4" xfId="10770" xr:uid="{AAD0F1E6-7385-4E52-8CD8-FCBADD742148}"/>
    <cellStyle name="Normal 5 4 4 3 5" xfId="19217" xr:uid="{CC25A80F-7F1C-43F6-B386-FD6E8CF124D8}"/>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A55740A0-211B-40DD-BC57-F5B8ED685470}"/>
    <cellStyle name="Normal 5 4 4 4 2 2 3" xfId="25992" xr:uid="{A125542F-D454-44AF-AA1B-F9440BCBA327}"/>
    <cellStyle name="Normal 5 4 4 4 2 3" xfId="13328" xr:uid="{8DB7C4ED-6550-4763-A6C6-C2619CC2732E}"/>
    <cellStyle name="Normal 5 4 4 4 2 4" xfId="21775" xr:uid="{664F888C-A081-4FDA-AC4B-0BD4ED5A7366}"/>
    <cellStyle name="Normal 5 4 4 4 3" xfId="6074" xr:uid="{00000000-0005-0000-0000-0000321B0000}"/>
    <cellStyle name="Normal 5 4 4 4 3 2" xfId="15400" xr:uid="{47204A8A-055C-459E-9BB1-DFCFF482873E}"/>
    <cellStyle name="Normal 5 4 4 4 3 3" xfId="23847" xr:uid="{C68616C6-9BDE-437A-954C-E5C8C4D7A486}"/>
    <cellStyle name="Normal 5 4 4 4 4" xfId="11183" xr:uid="{BA03EBA0-68EB-4DAB-9CF7-33B03B04C97E}"/>
    <cellStyle name="Normal 5 4 4 4 5" xfId="19630" xr:uid="{9964DFEC-718D-47E1-B37A-501B0956DC68}"/>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4CC74FC4-055B-449D-931B-E35C8FA1178A}"/>
    <cellStyle name="Normal 5 4 4 5 2 2 3" xfId="26405" xr:uid="{0FB1098B-79FB-4A1E-9A33-65D791F573D8}"/>
    <cellStyle name="Normal 5 4 4 5 2 3" xfId="13741" xr:uid="{0DB977B9-B431-49E2-98A6-ED5E98AFBD46}"/>
    <cellStyle name="Normal 5 4 4 5 2 4" xfId="22188" xr:uid="{15E1F715-E9CD-46D4-8012-358DB8CF0CB7}"/>
    <cellStyle name="Normal 5 4 4 5 3" xfId="6487" xr:uid="{00000000-0005-0000-0000-0000361B0000}"/>
    <cellStyle name="Normal 5 4 4 5 3 2" xfId="15813" xr:uid="{7026B5A2-EE42-4212-9727-92F0E8B52A66}"/>
    <cellStyle name="Normal 5 4 4 5 3 3" xfId="24260" xr:uid="{8023EE61-21C5-41F4-8952-357668F15754}"/>
    <cellStyle name="Normal 5 4 4 5 4" xfId="11596" xr:uid="{DC129196-794F-4663-8284-7DA6E73A6AB7}"/>
    <cellStyle name="Normal 5 4 4 5 5" xfId="20043" xr:uid="{2ABC624C-D46C-4A8C-B1CC-C85CC8055C43}"/>
    <cellStyle name="Normal 5 4 4 6" xfId="2617" xr:uid="{00000000-0005-0000-0000-0000371B0000}"/>
    <cellStyle name="Normal 5 4 4 6 2" xfId="6900" xr:uid="{00000000-0005-0000-0000-0000381B0000}"/>
    <cellStyle name="Normal 5 4 4 6 2 2" xfId="16226" xr:uid="{7F35ECAD-59AC-4CEA-845B-0D19D55B8F29}"/>
    <cellStyle name="Normal 5 4 4 6 2 3" xfId="24673" xr:uid="{B3FB6057-5C73-4081-86C0-E2ACFE702D6A}"/>
    <cellStyle name="Normal 5 4 4 6 3" xfId="12009" xr:uid="{EA8DF9C6-F19B-4993-A3FB-2702740DF219}"/>
    <cellStyle name="Normal 5 4 4 6 4" xfId="20456" xr:uid="{1FA3EB9F-96C7-4720-A6C7-B049CC535558}"/>
    <cellStyle name="Normal 5 4 4 7" xfId="4835" xr:uid="{00000000-0005-0000-0000-0000391B0000}"/>
    <cellStyle name="Normal 5 4 4 7 2" xfId="14161" xr:uid="{226BD442-B6C0-434B-A50A-0693FBECE277}"/>
    <cellStyle name="Normal 5 4 4 7 3" xfId="22608" xr:uid="{BF6BD3B2-2B9A-4E6C-8B37-D60BB12BC1F5}"/>
    <cellStyle name="Normal 5 4 4 8" xfId="8980" xr:uid="{B1DB48A4-94CB-4CC2-8D4B-8FD478363D48}"/>
    <cellStyle name="Normal 5 4 4 9" xfId="9944" xr:uid="{2045119D-0C5A-493B-8376-A7E16E8629A2}"/>
    <cellStyle name="Normal 5 4 5" xfId="930" xr:uid="{00000000-0005-0000-0000-00003A1B0000}"/>
    <cellStyle name="Normal 5 4 5 2" xfId="3164" xr:uid="{00000000-0005-0000-0000-00003B1B0000}"/>
    <cellStyle name="Normal 5 4 5 2 2" xfId="7386" xr:uid="{00000000-0005-0000-0000-00003C1B0000}"/>
    <cellStyle name="Normal 5 4 5 2 2 2" xfId="16712" xr:uid="{61F782AF-9830-461C-ABA4-EA94F78077EB}"/>
    <cellStyle name="Normal 5 4 5 2 2 3" xfId="25159" xr:uid="{D6DE34AC-C782-4250-8D5D-3E6CC25FDF4C}"/>
    <cellStyle name="Normal 5 4 5 2 3" xfId="12495" xr:uid="{83DF90A0-1D54-43A4-9D75-D2E9C84219B2}"/>
    <cellStyle name="Normal 5 4 5 2 4" xfId="20942" xr:uid="{BA6B83E0-1456-47BD-965B-BD30F201CF9C}"/>
    <cellStyle name="Normal 5 4 5 3" xfId="5241" xr:uid="{00000000-0005-0000-0000-00003D1B0000}"/>
    <cellStyle name="Normal 5 4 5 3 2" xfId="14567" xr:uid="{92E0B406-8A4C-45BF-9C0E-084A3ED46B4B}"/>
    <cellStyle name="Normal 5 4 5 3 3" xfId="23014" xr:uid="{F29D4D08-5E81-409D-BAA5-BDE121E0AB70}"/>
    <cellStyle name="Normal 5 4 5 4" xfId="9197" xr:uid="{44FF0EFB-444B-4C40-B695-8C256ADB5563}"/>
    <cellStyle name="Normal 5 4 5 5" xfId="10350" xr:uid="{C5DD6C30-3DA7-476A-8CEC-C0C36E17C2CD}"/>
    <cellStyle name="Normal 5 4 5 6" xfId="18797" xr:uid="{978B6BEF-D702-4F1A-8721-B356A7B20867}"/>
    <cellStyle name="Normal 5 4 6" xfId="1347" xr:uid="{00000000-0005-0000-0000-00003E1B0000}"/>
    <cellStyle name="Normal 5 4 6 2" xfId="3577" xr:uid="{00000000-0005-0000-0000-00003F1B0000}"/>
    <cellStyle name="Normal 5 4 6 2 2" xfId="7799" xr:uid="{00000000-0005-0000-0000-0000401B0000}"/>
    <cellStyle name="Normal 5 4 6 2 2 2" xfId="17125" xr:uid="{F988DE62-C60C-4911-8F02-DB5BA0377C4A}"/>
    <cellStyle name="Normal 5 4 6 2 2 3" xfId="25572" xr:uid="{FA7A374E-E054-490D-9474-FD2A70ACCCC5}"/>
    <cellStyle name="Normal 5 4 6 2 3" xfId="12908" xr:uid="{30EE48DD-2059-4386-B052-C191E9F86954}"/>
    <cellStyle name="Normal 5 4 6 2 4" xfId="21355" xr:uid="{7FC16F45-E167-4C82-8AC5-1C1E45176900}"/>
    <cellStyle name="Normal 5 4 6 3" xfId="5654" xr:uid="{00000000-0005-0000-0000-0000411B0000}"/>
    <cellStyle name="Normal 5 4 6 3 2" xfId="14980" xr:uid="{019FF1FF-B641-4B3C-8BE5-5AD3D8F40FA9}"/>
    <cellStyle name="Normal 5 4 6 3 3" xfId="23427" xr:uid="{02CB30B7-8E24-4FE0-98EF-392F31DAF860}"/>
    <cellStyle name="Normal 5 4 6 4" xfId="10763" xr:uid="{2C2FCD2C-30F8-4F93-8F2D-4436F4AE62DE}"/>
    <cellStyle name="Normal 5 4 6 5" xfId="19210" xr:uid="{A38C411A-8336-4C86-9731-5703EE904439}"/>
    <cellStyle name="Normal 5 4 7" xfId="1760" xr:uid="{00000000-0005-0000-0000-0000421B0000}"/>
    <cellStyle name="Normal 5 4 7 2" xfId="3990" xr:uid="{00000000-0005-0000-0000-0000431B0000}"/>
    <cellStyle name="Normal 5 4 7 2 2" xfId="8212" xr:uid="{00000000-0005-0000-0000-0000441B0000}"/>
    <cellStyle name="Normal 5 4 7 2 2 2" xfId="17538" xr:uid="{6FF1D627-DCBA-4C7E-9D95-F6718A260FBE}"/>
    <cellStyle name="Normal 5 4 7 2 2 3" xfId="25985" xr:uid="{EDABB704-4128-413C-BA3F-66E0022FB3D7}"/>
    <cellStyle name="Normal 5 4 7 2 3" xfId="13321" xr:uid="{B2BBC4AB-DF70-4D7E-9CC8-EB3956CC541D}"/>
    <cellStyle name="Normal 5 4 7 2 4" xfId="21768" xr:uid="{27B40950-9319-49D8-94E2-C6228C70E1E3}"/>
    <cellStyle name="Normal 5 4 7 3" xfId="6067" xr:uid="{00000000-0005-0000-0000-0000451B0000}"/>
    <cellStyle name="Normal 5 4 7 3 2" xfId="15393" xr:uid="{136FCA2C-0526-4EEE-86A7-ECB72C65F20B}"/>
    <cellStyle name="Normal 5 4 7 3 3" xfId="23840" xr:uid="{00F22B95-8DD1-4766-8107-7273CE1B2DC9}"/>
    <cellStyle name="Normal 5 4 7 4" xfId="11176" xr:uid="{79F1419F-F829-440B-BCFF-F15E40D4C7C4}"/>
    <cellStyle name="Normal 5 4 7 5" xfId="19623" xr:uid="{3CD0F8C9-45A4-43C6-9BCF-CC84E9842B58}"/>
    <cellStyle name="Normal 5 4 8" xfId="2174" xr:uid="{00000000-0005-0000-0000-0000461B0000}"/>
    <cellStyle name="Normal 5 4 8 2" xfId="4403" xr:uid="{00000000-0005-0000-0000-0000471B0000}"/>
    <cellStyle name="Normal 5 4 8 2 2" xfId="8625" xr:uid="{00000000-0005-0000-0000-0000481B0000}"/>
    <cellStyle name="Normal 5 4 8 2 2 2" xfId="17951" xr:uid="{3AF12C08-950A-45EE-9F02-473EF242E391}"/>
    <cellStyle name="Normal 5 4 8 2 2 3" xfId="26398" xr:uid="{096E6B63-FF38-410E-A56A-6A85136E26D9}"/>
    <cellStyle name="Normal 5 4 8 2 3" xfId="13734" xr:uid="{AAB57D12-4E8B-420E-B998-832E496EB381}"/>
    <cellStyle name="Normal 5 4 8 2 4" xfId="22181" xr:uid="{CB84BE68-E1EC-4D11-AC1E-8BA052F14501}"/>
    <cellStyle name="Normal 5 4 8 3" xfId="6480" xr:uid="{00000000-0005-0000-0000-0000491B0000}"/>
    <cellStyle name="Normal 5 4 8 3 2" xfId="15806" xr:uid="{FFB201EB-DACF-425F-966C-47246C7034DC}"/>
    <cellStyle name="Normal 5 4 8 3 3" xfId="24253" xr:uid="{4C2E1D69-8612-4FFA-A3A3-15E172F9BF56}"/>
    <cellStyle name="Normal 5 4 8 4" xfId="11589" xr:uid="{05767821-C58A-4B2A-BE77-CF5E8FB0832C}"/>
    <cellStyle name="Normal 5 4 8 5" xfId="20036" xr:uid="{15DCE452-D3B1-4933-830A-7F2336F8F379}"/>
    <cellStyle name="Normal 5 4 9" xfId="2610" xr:uid="{00000000-0005-0000-0000-00004A1B0000}"/>
    <cellStyle name="Normal 5 4 9 2" xfId="6893" xr:uid="{00000000-0005-0000-0000-00004B1B0000}"/>
    <cellStyle name="Normal 5 4 9 2 2" xfId="16219" xr:uid="{EA79761B-2923-4B6C-9376-187541D9F60D}"/>
    <cellStyle name="Normal 5 4 9 2 3" xfId="24666" xr:uid="{073C8106-0A0B-4B50-B9BD-82AF909BA34E}"/>
    <cellStyle name="Normal 5 4 9 3" xfId="12002" xr:uid="{3911CDE6-C802-4FBA-B8CF-71477AAA1C6E}"/>
    <cellStyle name="Normal 5 4 9 4" xfId="20449" xr:uid="{AF023639-A67E-4332-86F8-2ADD509B5ACA}"/>
    <cellStyle name="Normal 5 5" xfId="464" xr:uid="{00000000-0005-0000-0000-00004C1B0000}"/>
    <cellStyle name="Normal 5 5 10" xfId="8826" xr:uid="{5746674A-546A-44BF-97FB-6D298BF3AD61}"/>
    <cellStyle name="Normal 5 5 11" xfId="9945" xr:uid="{9E5C15CE-59A2-4B78-A1A2-6C7E45AE0CA7}"/>
    <cellStyle name="Normal 5 5 12" xfId="18392" xr:uid="{31C78246-CF06-4A8A-9F87-DD15EACB7CDB}"/>
    <cellStyle name="Normal 5 5 2" xfId="465" xr:uid="{00000000-0005-0000-0000-00004D1B0000}"/>
    <cellStyle name="Normal 5 5 2 10" xfId="9946" xr:uid="{9B60E4C6-30A8-4DC3-B606-CE3D19DA90BA}"/>
    <cellStyle name="Normal 5 5 2 11" xfId="18393" xr:uid="{14AE1F02-ABA8-405F-A5C7-90B3527828B5}"/>
    <cellStyle name="Normal 5 5 2 2" xfId="466" xr:uid="{00000000-0005-0000-0000-00004E1B0000}"/>
    <cellStyle name="Normal 5 5 2 2 10" xfId="18394" xr:uid="{FEEE5A34-D707-4EC1-B88D-6A2DDE42A838}"/>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F29AD7E9-AE09-4830-9267-8CA81CCA4DCA}"/>
    <cellStyle name="Normal 5 5 2 2 2 2 2 3" xfId="25169" xr:uid="{6E5A1C75-FAF7-4E2E-8F6E-B5318909854A}"/>
    <cellStyle name="Normal 5 5 2 2 2 2 3" xfId="12505" xr:uid="{74FBDAE7-52DD-48A3-8A1A-052E0B947A8F}"/>
    <cellStyle name="Normal 5 5 2 2 2 2 4" xfId="20952" xr:uid="{8C172915-C6EF-4F03-AF70-714B4D3234D1}"/>
    <cellStyle name="Normal 5 5 2 2 2 3" xfId="5251" xr:uid="{00000000-0005-0000-0000-0000521B0000}"/>
    <cellStyle name="Normal 5 5 2 2 2 3 2" xfId="14577" xr:uid="{8CF6EA0A-D5FB-4D12-A934-6A687AB4D898}"/>
    <cellStyle name="Normal 5 5 2 2 2 3 3" xfId="23024" xr:uid="{5E09F7E1-684E-4B1E-997F-B905890D6B1A}"/>
    <cellStyle name="Normal 5 5 2 2 2 4" xfId="9561" xr:uid="{FF1EB4DD-E23E-4228-816B-D59B021F724D}"/>
    <cellStyle name="Normal 5 5 2 2 2 5" xfId="10360" xr:uid="{D663FE96-C71D-49DC-9F7E-0DBDED434BDA}"/>
    <cellStyle name="Normal 5 5 2 2 2 6" xfId="18807" xr:uid="{B4CFF7BF-5D67-4007-AF46-0DF4AAF3BDEA}"/>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DE144C75-263A-41B4-95D1-8D705C1DBC8A}"/>
    <cellStyle name="Normal 5 5 2 2 3 2 2 3" xfId="25582" xr:uid="{44DE7021-B73E-4962-90AA-A25F11365196}"/>
    <cellStyle name="Normal 5 5 2 2 3 2 3" xfId="12918" xr:uid="{DCAAB97D-7B87-407D-A4C6-D60D69ED3B1C}"/>
    <cellStyle name="Normal 5 5 2 2 3 2 4" xfId="21365" xr:uid="{42009C95-CFB8-4DD3-9185-1750CF838E03}"/>
    <cellStyle name="Normal 5 5 2 2 3 3" xfId="5664" xr:uid="{00000000-0005-0000-0000-0000561B0000}"/>
    <cellStyle name="Normal 5 5 2 2 3 3 2" xfId="14990" xr:uid="{AD6C4282-19AB-4860-9D2B-46223A1EBA8B}"/>
    <cellStyle name="Normal 5 5 2 2 3 3 3" xfId="23437" xr:uid="{10E129D2-D266-452C-A9F7-A0B388E5A1F3}"/>
    <cellStyle name="Normal 5 5 2 2 3 4" xfId="10773" xr:uid="{06859662-721B-4A20-9B80-FBB671A345D1}"/>
    <cellStyle name="Normal 5 5 2 2 3 5" xfId="19220" xr:uid="{1691EE96-B49E-41E2-83AA-9A8FA427B659}"/>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9AC9618D-AEB6-46F7-86D1-DD5C4445CEB1}"/>
    <cellStyle name="Normal 5 5 2 2 4 2 2 3" xfId="25995" xr:uid="{319A48A2-E97C-4608-9310-D841BBF36D2F}"/>
    <cellStyle name="Normal 5 5 2 2 4 2 3" xfId="13331" xr:uid="{31FCE43C-8D0D-4D48-9E11-93FFA8D427E1}"/>
    <cellStyle name="Normal 5 5 2 2 4 2 4" xfId="21778" xr:uid="{2DF3F5A5-9168-4E6D-BE7E-EA58B90053FE}"/>
    <cellStyle name="Normal 5 5 2 2 4 3" xfId="6077" xr:uid="{00000000-0005-0000-0000-00005A1B0000}"/>
    <cellStyle name="Normal 5 5 2 2 4 3 2" xfId="15403" xr:uid="{AB41D014-F4BE-4F4D-A7F9-FA6BEB74DFF8}"/>
    <cellStyle name="Normal 5 5 2 2 4 3 3" xfId="23850" xr:uid="{C77CA3D0-8016-4995-A1EA-54B499199B5D}"/>
    <cellStyle name="Normal 5 5 2 2 4 4" xfId="11186" xr:uid="{311935AE-A0BB-4968-B59B-A608E2E40639}"/>
    <cellStyle name="Normal 5 5 2 2 4 5" xfId="19633" xr:uid="{019D2A5F-2ABF-4469-B75B-3C434C3A7781}"/>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DEB77486-8503-4684-8FA3-DB58A6D1C101}"/>
    <cellStyle name="Normal 5 5 2 2 5 2 2 3" xfId="26408" xr:uid="{A5F650B6-1DE0-4374-9EAF-32860252760E}"/>
    <cellStyle name="Normal 5 5 2 2 5 2 3" xfId="13744" xr:uid="{F0F5C223-497C-4708-B921-12C300A97C4C}"/>
    <cellStyle name="Normal 5 5 2 2 5 2 4" xfId="22191" xr:uid="{32D130E5-3CE4-4C2B-ACA3-8688EC6CBB4F}"/>
    <cellStyle name="Normal 5 5 2 2 5 3" xfId="6490" xr:uid="{00000000-0005-0000-0000-00005E1B0000}"/>
    <cellStyle name="Normal 5 5 2 2 5 3 2" xfId="15816" xr:uid="{0363FFFE-9509-4FF3-B8BD-ACE760EFF632}"/>
    <cellStyle name="Normal 5 5 2 2 5 3 3" xfId="24263" xr:uid="{D78E71F5-1BBD-4946-962F-7BA50C9B31A1}"/>
    <cellStyle name="Normal 5 5 2 2 5 4" xfId="11599" xr:uid="{99DEB118-EC6A-4F28-BF43-92B92D44212C}"/>
    <cellStyle name="Normal 5 5 2 2 5 5" xfId="20046" xr:uid="{4F9A9B90-950A-4396-A7D5-EE8E82908F3A}"/>
    <cellStyle name="Normal 5 5 2 2 6" xfId="2620" xr:uid="{00000000-0005-0000-0000-00005F1B0000}"/>
    <cellStyle name="Normal 5 5 2 2 6 2" xfId="6903" xr:uid="{00000000-0005-0000-0000-0000601B0000}"/>
    <cellStyle name="Normal 5 5 2 2 6 2 2" xfId="16229" xr:uid="{E8895D7F-B741-43C1-B84A-B83BE4419672}"/>
    <cellStyle name="Normal 5 5 2 2 6 2 3" xfId="24676" xr:uid="{EC013CF6-F48D-41CA-ABB1-4B09709E622F}"/>
    <cellStyle name="Normal 5 5 2 2 6 3" xfId="12012" xr:uid="{093859E0-5C80-4406-8605-56DA9AB817AA}"/>
    <cellStyle name="Normal 5 5 2 2 6 4" xfId="20459" xr:uid="{08D0B296-58BE-429E-868D-5893B50EA99E}"/>
    <cellStyle name="Normal 5 5 2 2 7" xfId="4838" xr:uid="{00000000-0005-0000-0000-0000611B0000}"/>
    <cellStyle name="Normal 5 5 2 2 7 2" xfId="14164" xr:uid="{C943783F-098D-42A3-B384-EA0397F8BA83}"/>
    <cellStyle name="Normal 5 5 2 2 7 3" xfId="22611" xr:uid="{BD7FB818-6145-4E7C-8654-239A51253E6A}"/>
    <cellStyle name="Normal 5 5 2 2 8" xfId="9136" xr:uid="{D41453B5-3BE6-4F01-B336-45A274529844}"/>
    <cellStyle name="Normal 5 5 2 2 9" xfId="9947" xr:uid="{E647C92D-4FF9-40D7-8C14-B1E6E2DACE65}"/>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F6F04819-157C-455B-B5B9-F851CA4EE2CC}"/>
    <cellStyle name="Normal 5 5 2 3 2 2 3" xfId="25168" xr:uid="{D2814705-50CF-4FC4-9022-30DB68BA8ADF}"/>
    <cellStyle name="Normal 5 5 2 3 2 3" xfId="12504" xr:uid="{AF5D421E-20EB-4F63-9770-28C1A52A2D0E}"/>
    <cellStyle name="Normal 5 5 2 3 2 4" xfId="20951" xr:uid="{2AFCCC40-B931-4027-9DEA-41AB4F3BD03B}"/>
    <cellStyle name="Normal 5 5 2 3 3" xfId="5250" xr:uid="{00000000-0005-0000-0000-0000651B0000}"/>
    <cellStyle name="Normal 5 5 2 3 3 2" xfId="14576" xr:uid="{33D672E2-9BBA-47BC-BC7E-CC935BAB624C}"/>
    <cellStyle name="Normal 5 5 2 3 3 3" xfId="23023" xr:uid="{25F57075-9026-4187-A1F8-F0A510CB8622}"/>
    <cellStyle name="Normal 5 5 2 3 4" xfId="9354" xr:uid="{3251F49D-E700-469D-9840-28045D408641}"/>
    <cellStyle name="Normal 5 5 2 3 5" xfId="10359" xr:uid="{C2E571E6-B710-4529-9CC0-8FEAA5607C99}"/>
    <cellStyle name="Normal 5 5 2 3 6" xfId="18806" xr:uid="{B0BFE92E-1AD9-4CC3-96C4-130EB6F3FF7F}"/>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139B7597-E7C9-41BB-AA6A-78A7751A15A1}"/>
    <cellStyle name="Normal 5 5 2 4 2 2 3" xfId="25581" xr:uid="{721C37BE-0E09-4127-86CE-653A77A4DC9D}"/>
    <cellStyle name="Normal 5 5 2 4 2 3" xfId="12917" xr:uid="{FB9F5366-2E8A-4B3A-929A-00DF651B010E}"/>
    <cellStyle name="Normal 5 5 2 4 2 4" xfId="21364" xr:uid="{DCBA9E65-D0AC-45B3-91DE-784CBF3154A3}"/>
    <cellStyle name="Normal 5 5 2 4 3" xfId="5663" xr:uid="{00000000-0005-0000-0000-0000691B0000}"/>
    <cellStyle name="Normal 5 5 2 4 3 2" xfId="14989" xr:uid="{594FFF66-BCEF-431E-A177-379B186CE43C}"/>
    <cellStyle name="Normal 5 5 2 4 3 3" xfId="23436" xr:uid="{F0B9EB67-2B9B-401E-A432-A89FCE1C3B47}"/>
    <cellStyle name="Normal 5 5 2 4 4" xfId="10772" xr:uid="{18873711-4098-4EE5-9D3F-0C0AE91555EF}"/>
    <cellStyle name="Normal 5 5 2 4 5" xfId="19219" xr:uid="{4800DD7C-E42D-4134-A27F-86C6DFB34DC4}"/>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221C73E8-1F5E-473F-9E11-ADF216076BDE}"/>
    <cellStyle name="Normal 5 5 2 5 2 2 3" xfId="25994" xr:uid="{12AE49F4-F9B4-49CD-AB26-C2842333FD87}"/>
    <cellStyle name="Normal 5 5 2 5 2 3" xfId="13330" xr:uid="{C7078A0F-0333-480E-BDF9-59B8D08931AC}"/>
    <cellStyle name="Normal 5 5 2 5 2 4" xfId="21777" xr:uid="{AD4FAC90-9B62-4C2C-9A81-4C9965DE9D00}"/>
    <cellStyle name="Normal 5 5 2 5 3" xfId="6076" xr:uid="{00000000-0005-0000-0000-00006D1B0000}"/>
    <cellStyle name="Normal 5 5 2 5 3 2" xfId="15402" xr:uid="{C16B921C-D6A7-4292-AD38-41D19E1935F4}"/>
    <cellStyle name="Normal 5 5 2 5 3 3" xfId="23849" xr:uid="{E09EDB35-E0DF-44F9-A0A3-39028DC74E08}"/>
    <cellStyle name="Normal 5 5 2 5 4" xfId="11185" xr:uid="{37A82253-60F6-4F86-89A2-82F5D70BD867}"/>
    <cellStyle name="Normal 5 5 2 5 5" xfId="19632" xr:uid="{BB509C26-AC2A-4EE5-88C7-DD71DA5612F9}"/>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2F20F2FF-42FD-454C-BF89-E74177A17D75}"/>
    <cellStyle name="Normal 5 5 2 6 2 2 3" xfId="26407" xr:uid="{24DF3D31-AA32-4CD2-BF2B-5385AB277A2D}"/>
    <cellStyle name="Normal 5 5 2 6 2 3" xfId="13743" xr:uid="{F2EFCAEA-D8F2-4F5F-9E3E-E3F41B64B063}"/>
    <cellStyle name="Normal 5 5 2 6 2 4" xfId="22190" xr:uid="{BA3BC350-036C-4BDE-9A41-1B891D12665A}"/>
    <cellStyle name="Normal 5 5 2 6 3" xfId="6489" xr:uid="{00000000-0005-0000-0000-0000711B0000}"/>
    <cellStyle name="Normal 5 5 2 6 3 2" xfId="15815" xr:uid="{DF32320C-D011-4769-8454-D2A010C0F4C5}"/>
    <cellStyle name="Normal 5 5 2 6 3 3" xfId="24262" xr:uid="{1449A919-FCFA-4784-9D60-D23DCCA632F1}"/>
    <cellStyle name="Normal 5 5 2 6 4" xfId="11598" xr:uid="{62F14349-FE92-4986-8B6F-B89B625D0DB2}"/>
    <cellStyle name="Normal 5 5 2 6 5" xfId="20045" xr:uid="{6337B62D-2376-477C-A2B5-37FEE8E77F15}"/>
    <cellStyle name="Normal 5 5 2 7" xfId="2619" xr:uid="{00000000-0005-0000-0000-0000721B0000}"/>
    <cellStyle name="Normal 5 5 2 7 2" xfId="6902" xr:uid="{00000000-0005-0000-0000-0000731B0000}"/>
    <cellStyle name="Normal 5 5 2 7 2 2" xfId="16228" xr:uid="{42190796-90E2-4F68-BCDC-E7D837D58785}"/>
    <cellStyle name="Normal 5 5 2 7 2 3" xfId="24675" xr:uid="{7DAEAF0E-74E4-47C9-91E2-49285E16E075}"/>
    <cellStyle name="Normal 5 5 2 7 3" xfId="12011" xr:uid="{E6404856-E52F-43BA-96A8-D54C04A41BAB}"/>
    <cellStyle name="Normal 5 5 2 7 4" xfId="20458" xr:uid="{54C1D826-EBFD-4620-BA70-5D125CA3C040}"/>
    <cellStyle name="Normal 5 5 2 8" xfId="4837" xr:uid="{00000000-0005-0000-0000-0000741B0000}"/>
    <cellStyle name="Normal 5 5 2 8 2" xfId="14163" xr:uid="{9A6E6D54-A07B-4BA3-9FB1-C0D26C387BFF}"/>
    <cellStyle name="Normal 5 5 2 8 3" xfId="22610" xr:uid="{AABFF3B2-AA58-489B-9DE5-9E6478D2C8DE}"/>
    <cellStyle name="Normal 5 5 2 9" xfId="8929" xr:uid="{918246BA-1946-46D4-8BAF-6DC0C4DC8AC3}"/>
    <cellStyle name="Normal 5 5 3" xfId="467" xr:uid="{00000000-0005-0000-0000-0000751B0000}"/>
    <cellStyle name="Normal 5 5 3 10" xfId="18395" xr:uid="{73A40A01-5292-4D21-8BAA-DE4B7C01E0C8}"/>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E6CB16A0-31BB-49B6-A906-633A47372DE4}"/>
    <cellStyle name="Normal 5 5 3 2 2 2 3" xfId="25170" xr:uid="{3E34B627-42D3-4BAC-9462-1751A1093C8F}"/>
    <cellStyle name="Normal 5 5 3 2 2 3" xfId="12506" xr:uid="{8A2B4B46-CEBF-48B5-9F86-1C955B140319}"/>
    <cellStyle name="Normal 5 5 3 2 2 4" xfId="20953" xr:uid="{DBF5D7FA-EFC1-426B-89B1-FA5CF4A3AE10}"/>
    <cellStyle name="Normal 5 5 3 2 3" xfId="5252" xr:uid="{00000000-0005-0000-0000-0000791B0000}"/>
    <cellStyle name="Normal 5 5 3 2 3 2" xfId="14578" xr:uid="{5DAADCF9-0EA7-457E-9696-9A690FAFD280}"/>
    <cellStyle name="Normal 5 5 3 2 3 3" xfId="23025" xr:uid="{F1B20E50-7439-45FC-928C-C8B346AE1F27}"/>
    <cellStyle name="Normal 5 5 3 2 4" xfId="9458" xr:uid="{8AD16727-CFBF-4DB5-B58F-04D48E2B564D}"/>
    <cellStyle name="Normal 5 5 3 2 5" xfId="10361" xr:uid="{5CED9F9F-CE1D-48B1-A351-CB0DD5001369}"/>
    <cellStyle name="Normal 5 5 3 2 6" xfId="18808" xr:uid="{2A6E0DC8-47E2-4477-B3C3-B7362125B6E2}"/>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147C48BE-B359-4690-9996-7CF126B04EB4}"/>
    <cellStyle name="Normal 5 5 3 3 2 2 3" xfId="25583" xr:uid="{7A471408-739B-43DA-9CA0-B318D906344C}"/>
    <cellStyle name="Normal 5 5 3 3 2 3" xfId="12919" xr:uid="{CA4E3332-5341-490D-9EC9-A9091A4CD570}"/>
    <cellStyle name="Normal 5 5 3 3 2 4" xfId="21366" xr:uid="{0CB42D7E-A4A7-4120-85D4-46B08BC3CFE0}"/>
    <cellStyle name="Normal 5 5 3 3 3" xfId="5665" xr:uid="{00000000-0005-0000-0000-00007D1B0000}"/>
    <cellStyle name="Normal 5 5 3 3 3 2" xfId="14991" xr:uid="{541E3863-EB47-42FC-9129-362C0664EF6B}"/>
    <cellStyle name="Normal 5 5 3 3 3 3" xfId="23438" xr:uid="{80E57FEE-83FA-477F-AD5A-8FACBBA2ED53}"/>
    <cellStyle name="Normal 5 5 3 3 4" xfId="10774" xr:uid="{883D46C8-85BF-45BA-8136-985F6A7E090A}"/>
    <cellStyle name="Normal 5 5 3 3 5" xfId="19221" xr:uid="{D55AAFD8-50BC-495F-9EFF-552B36B45EDB}"/>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CF7AF6DE-E964-457D-AAE4-95EAB7EE993E}"/>
    <cellStyle name="Normal 5 5 3 4 2 2 3" xfId="25996" xr:uid="{48E91435-B614-49B9-9D30-8C339104DC7B}"/>
    <cellStyle name="Normal 5 5 3 4 2 3" xfId="13332" xr:uid="{C55F9769-3DE9-4190-9195-87722C41F44D}"/>
    <cellStyle name="Normal 5 5 3 4 2 4" xfId="21779" xr:uid="{95BB2316-3ECC-4E87-BBD6-2FE70D22B3C0}"/>
    <cellStyle name="Normal 5 5 3 4 3" xfId="6078" xr:uid="{00000000-0005-0000-0000-0000811B0000}"/>
    <cellStyle name="Normal 5 5 3 4 3 2" xfId="15404" xr:uid="{AB61582A-E2E6-46E4-8BF9-E6BAA6AA6E80}"/>
    <cellStyle name="Normal 5 5 3 4 3 3" xfId="23851" xr:uid="{16B90D0C-E273-4771-9D36-B2CF867640BB}"/>
    <cellStyle name="Normal 5 5 3 4 4" xfId="11187" xr:uid="{6946FE36-4252-4D7A-82BC-BB340531DD3D}"/>
    <cellStyle name="Normal 5 5 3 4 5" xfId="19634" xr:uid="{E7938936-2528-4B63-B0C6-C4B51D79B736}"/>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4658B050-ACFD-4E6D-BEB5-421A0D87D0D7}"/>
    <cellStyle name="Normal 5 5 3 5 2 2 3" xfId="26409" xr:uid="{CDDBEEB3-B906-4C85-B71F-714B38336760}"/>
    <cellStyle name="Normal 5 5 3 5 2 3" xfId="13745" xr:uid="{66744605-8363-4F6E-8799-C5C3E056F814}"/>
    <cellStyle name="Normal 5 5 3 5 2 4" xfId="22192" xr:uid="{ADF2F34B-D251-4B8D-BDA0-987D80030291}"/>
    <cellStyle name="Normal 5 5 3 5 3" xfId="6491" xr:uid="{00000000-0005-0000-0000-0000851B0000}"/>
    <cellStyle name="Normal 5 5 3 5 3 2" xfId="15817" xr:uid="{F5332D6F-5884-4823-ADF7-41422CBBEB56}"/>
    <cellStyle name="Normal 5 5 3 5 3 3" xfId="24264" xr:uid="{775D23B2-33F0-4705-B023-6BEBB81DA81E}"/>
    <cellStyle name="Normal 5 5 3 5 4" xfId="11600" xr:uid="{C648895E-53C2-40EA-A3C4-FAA6A1B7F9CA}"/>
    <cellStyle name="Normal 5 5 3 5 5" xfId="20047" xr:uid="{36C3E401-991C-4198-B9E0-656D1282B636}"/>
    <cellStyle name="Normal 5 5 3 6" xfId="2621" xr:uid="{00000000-0005-0000-0000-0000861B0000}"/>
    <cellStyle name="Normal 5 5 3 6 2" xfId="6904" xr:uid="{00000000-0005-0000-0000-0000871B0000}"/>
    <cellStyle name="Normal 5 5 3 6 2 2" xfId="16230" xr:uid="{D1D5F5CD-E259-4662-AC02-29DE8C51BBAE}"/>
    <cellStyle name="Normal 5 5 3 6 2 3" xfId="24677" xr:uid="{F89EF80F-58EE-40E1-B001-B47278F4CCE4}"/>
    <cellStyle name="Normal 5 5 3 6 3" xfId="12013" xr:uid="{09521350-0E98-4D00-8922-C577009DA166}"/>
    <cellStyle name="Normal 5 5 3 6 4" xfId="20460" xr:uid="{1A9F5463-1175-4CDC-95BE-5ADD3B5181E7}"/>
    <cellStyle name="Normal 5 5 3 7" xfId="4839" xr:uid="{00000000-0005-0000-0000-0000881B0000}"/>
    <cellStyle name="Normal 5 5 3 7 2" xfId="14165" xr:uid="{CDDD3850-521A-4CE5-B814-81ED33370970}"/>
    <cellStyle name="Normal 5 5 3 7 3" xfId="22612" xr:uid="{666B29CF-BDF8-4A20-8300-A092B22076C5}"/>
    <cellStyle name="Normal 5 5 3 8" xfId="9033" xr:uid="{08F77EF7-8D03-42D9-B538-FE3582C4B971}"/>
    <cellStyle name="Normal 5 5 3 9" xfId="9948" xr:uid="{C2A75E10-B6A4-47B3-B6C8-E13829560A3E}"/>
    <cellStyle name="Normal 5 5 4" xfId="938" xr:uid="{00000000-0005-0000-0000-0000891B0000}"/>
    <cellStyle name="Normal 5 5 4 2" xfId="3172" xr:uid="{00000000-0005-0000-0000-00008A1B0000}"/>
    <cellStyle name="Normal 5 5 4 2 2" xfId="7394" xr:uid="{00000000-0005-0000-0000-00008B1B0000}"/>
    <cellStyle name="Normal 5 5 4 2 2 2" xfId="16720" xr:uid="{7862A036-19BF-4689-AF29-D9027A238A6C}"/>
    <cellStyle name="Normal 5 5 4 2 2 3" xfId="25167" xr:uid="{24DE923B-EB20-48E7-9F56-2E9D340CD381}"/>
    <cellStyle name="Normal 5 5 4 2 3" xfId="12503" xr:uid="{232FC9A4-769E-4E5E-9B22-1A2D212FC979}"/>
    <cellStyle name="Normal 5 5 4 2 4" xfId="20950" xr:uid="{1F53D11C-59DB-4DD9-B763-97316306B209}"/>
    <cellStyle name="Normal 5 5 4 3" xfId="5249" xr:uid="{00000000-0005-0000-0000-00008C1B0000}"/>
    <cellStyle name="Normal 5 5 4 3 2" xfId="14575" xr:uid="{E72513E6-2358-4DE5-85A6-A962ACBAD2F4}"/>
    <cellStyle name="Normal 5 5 4 3 3" xfId="23022" xr:uid="{B45FF665-7067-4FF4-BCD5-CCBA326AB72F}"/>
    <cellStyle name="Normal 5 5 4 4" xfId="9251" xr:uid="{4EAD9E35-D3C9-46BE-AE4D-29A1C6D5A6F7}"/>
    <cellStyle name="Normal 5 5 4 5" xfId="10358" xr:uid="{D6FA810F-AEF4-422C-B4E3-8F5CB8493B5C}"/>
    <cellStyle name="Normal 5 5 4 6" xfId="18805" xr:uid="{A39BCC73-DEBF-4551-B0DF-E6D60D2101A3}"/>
    <cellStyle name="Normal 5 5 5" xfId="1355" xr:uid="{00000000-0005-0000-0000-00008D1B0000}"/>
    <cellStyle name="Normal 5 5 5 2" xfId="3585" xr:uid="{00000000-0005-0000-0000-00008E1B0000}"/>
    <cellStyle name="Normal 5 5 5 2 2" xfId="7807" xr:uid="{00000000-0005-0000-0000-00008F1B0000}"/>
    <cellStyle name="Normal 5 5 5 2 2 2" xfId="17133" xr:uid="{EFE7B5A6-5A89-4217-B78A-04EB80931F9A}"/>
    <cellStyle name="Normal 5 5 5 2 2 3" xfId="25580" xr:uid="{96AED2E5-87F3-413C-8C45-19CB4AD014BA}"/>
    <cellStyle name="Normal 5 5 5 2 3" xfId="12916" xr:uid="{2203F29E-C01B-41AA-B098-B8821F4DF182}"/>
    <cellStyle name="Normal 5 5 5 2 4" xfId="21363" xr:uid="{19D49113-089A-4C9D-95C7-68D63C1824C2}"/>
    <cellStyle name="Normal 5 5 5 3" xfId="5662" xr:uid="{00000000-0005-0000-0000-0000901B0000}"/>
    <cellStyle name="Normal 5 5 5 3 2" xfId="14988" xr:uid="{21DF3CC4-CFF6-4627-A7F3-1F442E352196}"/>
    <cellStyle name="Normal 5 5 5 3 3" xfId="23435" xr:uid="{F850060D-AA12-4CB1-BFA4-0927B87AC654}"/>
    <cellStyle name="Normal 5 5 5 4" xfId="10771" xr:uid="{B9F10FF2-9771-4D87-94B6-761E7FEFFBA1}"/>
    <cellStyle name="Normal 5 5 5 5" xfId="19218" xr:uid="{AE75A9CA-0055-44C8-AF41-75F759B72439}"/>
    <cellStyle name="Normal 5 5 6" xfId="1768" xr:uid="{00000000-0005-0000-0000-0000911B0000}"/>
    <cellStyle name="Normal 5 5 6 2" xfId="3998" xr:uid="{00000000-0005-0000-0000-0000921B0000}"/>
    <cellStyle name="Normal 5 5 6 2 2" xfId="8220" xr:uid="{00000000-0005-0000-0000-0000931B0000}"/>
    <cellStyle name="Normal 5 5 6 2 2 2" xfId="17546" xr:uid="{73ECFF80-C5F8-455F-9F5F-AB5BD6BE6564}"/>
    <cellStyle name="Normal 5 5 6 2 2 3" xfId="25993" xr:uid="{935D25CA-74EA-422E-AE90-CB15A761D08F}"/>
    <cellStyle name="Normal 5 5 6 2 3" xfId="13329" xr:uid="{DFC5E93D-323B-428F-A0CB-D662A8F2429A}"/>
    <cellStyle name="Normal 5 5 6 2 4" xfId="21776" xr:uid="{F5A77A05-D810-413E-B5E8-6CE50076781F}"/>
    <cellStyle name="Normal 5 5 6 3" xfId="6075" xr:uid="{00000000-0005-0000-0000-0000941B0000}"/>
    <cellStyle name="Normal 5 5 6 3 2" xfId="15401" xr:uid="{0527E986-A1BE-4B89-BB77-098D5219A323}"/>
    <cellStyle name="Normal 5 5 6 3 3" xfId="23848" xr:uid="{1257AB76-5272-455B-A0DE-D3FE34D19D7A}"/>
    <cellStyle name="Normal 5 5 6 4" xfId="11184" xr:uid="{297028D5-7D55-4121-8693-7985DF85A088}"/>
    <cellStyle name="Normal 5 5 6 5" xfId="19631" xr:uid="{C8FA62D9-7E88-4912-AEA1-E25396285F24}"/>
    <cellStyle name="Normal 5 5 7" xfId="2182" xr:uid="{00000000-0005-0000-0000-0000951B0000}"/>
    <cellStyle name="Normal 5 5 7 2" xfId="4411" xr:uid="{00000000-0005-0000-0000-0000961B0000}"/>
    <cellStyle name="Normal 5 5 7 2 2" xfId="8633" xr:uid="{00000000-0005-0000-0000-0000971B0000}"/>
    <cellStyle name="Normal 5 5 7 2 2 2" xfId="17959" xr:uid="{8772B34F-D6FB-41B2-91D7-05406E111FBA}"/>
    <cellStyle name="Normal 5 5 7 2 2 3" xfId="26406" xr:uid="{C9C46B31-94E5-47EA-A67A-90B79B5E3BF5}"/>
    <cellStyle name="Normal 5 5 7 2 3" xfId="13742" xr:uid="{DCA781B1-391B-40D0-B4ED-A03399910E68}"/>
    <cellStyle name="Normal 5 5 7 2 4" xfId="22189" xr:uid="{7E17EBCE-5404-47F4-9285-3E6F2928712A}"/>
    <cellStyle name="Normal 5 5 7 3" xfId="6488" xr:uid="{00000000-0005-0000-0000-0000981B0000}"/>
    <cellStyle name="Normal 5 5 7 3 2" xfId="15814" xr:uid="{955CBD08-C12A-4F64-8A64-CD1F69871BC3}"/>
    <cellStyle name="Normal 5 5 7 3 3" xfId="24261" xr:uid="{C4FDDC21-9E48-49DC-9E4F-6D357D9D3D48}"/>
    <cellStyle name="Normal 5 5 7 4" xfId="11597" xr:uid="{04DF9A1B-5FC1-41A6-ADEE-BF9A0FE8D836}"/>
    <cellStyle name="Normal 5 5 7 5" xfId="20044" xr:uid="{EE60D2AE-3EBE-4456-B8C0-15A52EC9BB06}"/>
    <cellStyle name="Normal 5 5 8" xfId="2618" xr:uid="{00000000-0005-0000-0000-0000991B0000}"/>
    <cellStyle name="Normal 5 5 8 2" xfId="6901" xr:uid="{00000000-0005-0000-0000-00009A1B0000}"/>
    <cellStyle name="Normal 5 5 8 2 2" xfId="16227" xr:uid="{0B2BC02A-491F-41B8-9F75-2E3FAE9B3238}"/>
    <cellStyle name="Normal 5 5 8 2 3" xfId="24674" xr:uid="{9F98B1A8-1C11-48BB-A113-842E607974C0}"/>
    <cellStyle name="Normal 5 5 8 3" xfId="12010" xr:uid="{512301F1-A691-41A8-BC76-04EE1C125755}"/>
    <cellStyle name="Normal 5 5 8 4" xfId="20457" xr:uid="{4D383A44-CAF4-4658-A9EC-BF28F1584BE6}"/>
    <cellStyle name="Normal 5 5 9" xfId="4836" xr:uid="{00000000-0005-0000-0000-00009B1B0000}"/>
    <cellStyle name="Normal 5 5 9 2" xfId="14162" xr:uid="{CBDC3E24-24CC-428B-B432-9037894B30C0}"/>
    <cellStyle name="Normal 5 5 9 3" xfId="22609" xr:uid="{1D7B46F2-53C8-4B54-B7E1-BAB972ED050D}"/>
    <cellStyle name="Normal 5 6" xfId="468" xr:uid="{00000000-0005-0000-0000-00009C1B0000}"/>
    <cellStyle name="Normal 5 6 10" xfId="9949" xr:uid="{276422F9-6F24-4D37-9DBB-0F3B967A2107}"/>
    <cellStyle name="Normal 5 6 11" xfId="18396" xr:uid="{C9BDE35F-EB33-460D-B8E0-FB5A4D379F6E}"/>
    <cellStyle name="Normal 5 6 2" xfId="469" xr:uid="{00000000-0005-0000-0000-00009D1B0000}"/>
    <cellStyle name="Normal 5 6 2 10" xfId="18397" xr:uid="{E2D72258-FADC-4B61-82E3-6B2996E8AC4C}"/>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13F786C7-EE92-4FB7-97FF-FBA8836D2439}"/>
    <cellStyle name="Normal 5 6 2 2 2 2 3" xfId="25172" xr:uid="{DB51510C-66F4-48A1-98E8-AC15105CC102}"/>
    <cellStyle name="Normal 5 6 2 2 2 3" xfId="12508" xr:uid="{E3A74D07-03BB-4135-AB18-872608F32FA0}"/>
    <cellStyle name="Normal 5 6 2 2 2 4" xfId="20955" xr:uid="{EDB195C6-8603-4A39-8961-2578C21A7029}"/>
    <cellStyle name="Normal 5 6 2 2 3" xfId="5254" xr:uid="{00000000-0005-0000-0000-0000A11B0000}"/>
    <cellStyle name="Normal 5 6 2 2 3 2" xfId="14580" xr:uid="{E4DE5C00-532C-4761-A001-3C551F69194D}"/>
    <cellStyle name="Normal 5 6 2 2 3 3" xfId="23027" xr:uid="{3F8FAF11-4EAA-4335-ABFC-1FCD23401005}"/>
    <cellStyle name="Normal 5 6 2 2 4" xfId="9476" xr:uid="{3B3E6CA1-4D97-4B11-99D5-4F82314AA0E0}"/>
    <cellStyle name="Normal 5 6 2 2 5" xfId="10363" xr:uid="{4E22F27B-85FF-4F1A-9E68-AFFFA7F95153}"/>
    <cellStyle name="Normal 5 6 2 2 6" xfId="18810" xr:uid="{D9DA1D46-D725-4219-A1F8-EFBCAB91ADB5}"/>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6BD0342A-B199-4023-8AFF-E21EBA19EAD9}"/>
    <cellStyle name="Normal 5 6 2 3 2 2 3" xfId="25585" xr:uid="{AC710CAF-8925-458C-A2E1-8FA9ED06A542}"/>
    <cellStyle name="Normal 5 6 2 3 2 3" xfId="12921" xr:uid="{92839D5E-881A-402E-B787-1E6568133208}"/>
    <cellStyle name="Normal 5 6 2 3 2 4" xfId="21368" xr:uid="{F2FA5239-F8C0-4D38-872D-02F29645FAF9}"/>
    <cellStyle name="Normal 5 6 2 3 3" xfId="5667" xr:uid="{00000000-0005-0000-0000-0000A51B0000}"/>
    <cellStyle name="Normal 5 6 2 3 3 2" xfId="14993" xr:uid="{60C998DC-0E2C-4F76-B615-FE51B60478DB}"/>
    <cellStyle name="Normal 5 6 2 3 3 3" xfId="23440" xr:uid="{BD6D14D8-62F2-4E33-B096-3F351D644C32}"/>
    <cellStyle name="Normal 5 6 2 3 4" xfId="10776" xr:uid="{F48C9223-896B-48DF-9D85-566E4027F0D3}"/>
    <cellStyle name="Normal 5 6 2 3 5" xfId="19223" xr:uid="{BC0D8840-E506-4AFF-A355-E94064C4ECB5}"/>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0CBB6B7E-B65D-4D06-9B6F-8A5781ECEE4B}"/>
    <cellStyle name="Normal 5 6 2 4 2 2 3" xfId="25998" xr:uid="{1641712B-2B3D-4DEE-896C-9A49C2D64CBF}"/>
    <cellStyle name="Normal 5 6 2 4 2 3" xfId="13334" xr:uid="{2B3CC9E8-C1DA-4111-9108-8FF267531EF8}"/>
    <cellStyle name="Normal 5 6 2 4 2 4" xfId="21781" xr:uid="{84C0361D-13F4-433E-BFB3-EB10F1500EE7}"/>
    <cellStyle name="Normal 5 6 2 4 3" xfId="6080" xr:uid="{00000000-0005-0000-0000-0000A91B0000}"/>
    <cellStyle name="Normal 5 6 2 4 3 2" xfId="15406" xr:uid="{D3A3441C-6AA6-4FF4-B388-AF383B3BD5D7}"/>
    <cellStyle name="Normal 5 6 2 4 3 3" xfId="23853" xr:uid="{B97B8214-7B01-4448-897E-4C46C58DE15C}"/>
    <cellStyle name="Normal 5 6 2 4 4" xfId="11189" xr:uid="{286FCEB4-6D54-4E82-A77E-62AA4723C83B}"/>
    <cellStyle name="Normal 5 6 2 4 5" xfId="19636" xr:uid="{D7ADFDE2-23CD-4954-9A37-E784E8723558}"/>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820588BE-9CA6-4822-90F8-B74361F5A07E}"/>
    <cellStyle name="Normal 5 6 2 5 2 2 3" xfId="26411" xr:uid="{F57C8A38-2470-4FC0-B7CA-C7815A44EEEA}"/>
    <cellStyle name="Normal 5 6 2 5 2 3" xfId="13747" xr:uid="{3ED6E095-802D-44C0-80C3-10A67A855D4F}"/>
    <cellStyle name="Normal 5 6 2 5 2 4" xfId="22194" xr:uid="{72B3386B-6676-42A2-9C73-CE6D4A45244D}"/>
    <cellStyle name="Normal 5 6 2 5 3" xfId="6493" xr:uid="{00000000-0005-0000-0000-0000AD1B0000}"/>
    <cellStyle name="Normal 5 6 2 5 3 2" xfId="15819" xr:uid="{678118C5-365B-4C41-BF10-64AF91D725C1}"/>
    <cellStyle name="Normal 5 6 2 5 3 3" xfId="24266" xr:uid="{634AF8AC-36B4-428C-88C6-A2E109F64BBA}"/>
    <cellStyle name="Normal 5 6 2 5 4" xfId="11602" xr:uid="{365D9E9C-47FB-4A3C-886F-851EE222053D}"/>
    <cellStyle name="Normal 5 6 2 5 5" xfId="20049" xr:uid="{F2C9894D-A542-4A38-BB51-EC22BC202BBE}"/>
    <cellStyle name="Normal 5 6 2 6" xfId="2623" xr:uid="{00000000-0005-0000-0000-0000AE1B0000}"/>
    <cellStyle name="Normal 5 6 2 6 2" xfId="6906" xr:uid="{00000000-0005-0000-0000-0000AF1B0000}"/>
    <cellStyle name="Normal 5 6 2 6 2 2" xfId="16232" xr:uid="{8A5FAD80-CC7E-4603-87E1-09291AE0CF59}"/>
    <cellStyle name="Normal 5 6 2 6 2 3" xfId="24679" xr:uid="{1A51F088-0A7E-41A1-8CD2-68044C982A90}"/>
    <cellStyle name="Normal 5 6 2 6 3" xfId="12015" xr:uid="{E845F743-7082-4956-9F7D-E18A8B7DDAA3}"/>
    <cellStyle name="Normal 5 6 2 6 4" xfId="20462" xr:uid="{DA8476A4-4988-4825-827F-FC342D55DC1A}"/>
    <cellStyle name="Normal 5 6 2 7" xfId="4841" xr:uid="{00000000-0005-0000-0000-0000B01B0000}"/>
    <cellStyle name="Normal 5 6 2 7 2" xfId="14167" xr:uid="{95F7E784-8A6E-439D-B49E-289B40A113A6}"/>
    <cellStyle name="Normal 5 6 2 7 3" xfId="22614" xr:uid="{CC532B42-9713-48FF-A556-97483FF710D3}"/>
    <cellStyle name="Normal 5 6 2 8" xfId="9051" xr:uid="{97C72229-9AC1-4DA9-8A0B-8B4B6D970DE8}"/>
    <cellStyle name="Normal 5 6 2 9" xfId="9950" xr:uid="{5F192582-8AE5-4E17-9C12-BCF180862AAD}"/>
    <cellStyle name="Normal 5 6 3" xfId="942" xr:uid="{00000000-0005-0000-0000-0000B11B0000}"/>
    <cellStyle name="Normal 5 6 3 2" xfId="3176" xr:uid="{00000000-0005-0000-0000-0000B21B0000}"/>
    <cellStyle name="Normal 5 6 3 2 2" xfId="7398" xr:uid="{00000000-0005-0000-0000-0000B31B0000}"/>
    <cellStyle name="Normal 5 6 3 2 2 2" xfId="16724" xr:uid="{490717C3-3DCC-4013-AD5E-00CD56576B2C}"/>
    <cellStyle name="Normal 5 6 3 2 2 3" xfId="25171" xr:uid="{C4552D0E-D31C-4FBA-AA19-F93A0070D0CC}"/>
    <cellStyle name="Normal 5 6 3 2 3" xfId="12507" xr:uid="{E377EE5D-4934-45A8-A932-1F2A621BA036}"/>
    <cellStyle name="Normal 5 6 3 2 4" xfId="20954" xr:uid="{0E375454-6D15-4C52-956F-57E0581015D6}"/>
    <cellStyle name="Normal 5 6 3 3" xfId="5253" xr:uid="{00000000-0005-0000-0000-0000B41B0000}"/>
    <cellStyle name="Normal 5 6 3 3 2" xfId="14579" xr:uid="{69388B32-60DF-4328-96FA-07D87ADAD31F}"/>
    <cellStyle name="Normal 5 6 3 3 3" xfId="23026" xr:uid="{664A2623-69BA-4A1C-B9F2-ED83488CA3E5}"/>
    <cellStyle name="Normal 5 6 3 4" xfId="9269" xr:uid="{7D6728A0-C210-4F3F-8114-143B9AE0BFB4}"/>
    <cellStyle name="Normal 5 6 3 5" xfId="10362" xr:uid="{BBFBA330-49D5-44CA-9EA5-4BFD8A5E5CAF}"/>
    <cellStyle name="Normal 5 6 3 6" xfId="18809" xr:uid="{BDACFA03-B934-4969-9E69-7FAEE7904027}"/>
    <cellStyle name="Normal 5 6 4" xfId="1359" xr:uid="{00000000-0005-0000-0000-0000B51B0000}"/>
    <cellStyle name="Normal 5 6 4 2" xfId="3589" xr:uid="{00000000-0005-0000-0000-0000B61B0000}"/>
    <cellStyle name="Normal 5 6 4 2 2" xfId="7811" xr:uid="{00000000-0005-0000-0000-0000B71B0000}"/>
    <cellStyle name="Normal 5 6 4 2 2 2" xfId="17137" xr:uid="{26364CFA-0085-4A7D-8C37-58803AFBBF76}"/>
    <cellStyle name="Normal 5 6 4 2 2 3" xfId="25584" xr:uid="{F9A6B78F-B069-4155-96D1-9F6146BC0487}"/>
    <cellStyle name="Normal 5 6 4 2 3" xfId="12920" xr:uid="{280560BB-954C-4A45-A590-52A4F6E1D4BA}"/>
    <cellStyle name="Normal 5 6 4 2 4" xfId="21367" xr:uid="{B692BADF-0166-48EE-942E-82A5CE5C2D96}"/>
    <cellStyle name="Normal 5 6 4 3" xfId="5666" xr:uid="{00000000-0005-0000-0000-0000B81B0000}"/>
    <cellStyle name="Normal 5 6 4 3 2" xfId="14992" xr:uid="{27FE61FE-9B6F-49B4-8A1D-ABB0918D8892}"/>
    <cellStyle name="Normal 5 6 4 3 3" xfId="23439" xr:uid="{F1C3A5CA-B78F-41BB-BAEE-9C63AA1A7AA9}"/>
    <cellStyle name="Normal 5 6 4 4" xfId="10775" xr:uid="{F20A7EE2-7370-4A38-A4B1-CAE767D04751}"/>
    <cellStyle name="Normal 5 6 4 5" xfId="19222" xr:uid="{602F0458-351C-41D7-A389-45B7408A7A4E}"/>
    <cellStyle name="Normal 5 6 5" xfId="1772" xr:uid="{00000000-0005-0000-0000-0000B91B0000}"/>
    <cellStyle name="Normal 5 6 5 2" xfId="4002" xr:uid="{00000000-0005-0000-0000-0000BA1B0000}"/>
    <cellStyle name="Normal 5 6 5 2 2" xfId="8224" xr:uid="{00000000-0005-0000-0000-0000BB1B0000}"/>
    <cellStyle name="Normal 5 6 5 2 2 2" xfId="17550" xr:uid="{331E6618-0BD7-4351-BC1A-307438EB9443}"/>
    <cellStyle name="Normal 5 6 5 2 2 3" xfId="25997" xr:uid="{A523C192-621F-4DAB-925E-356E83D971AF}"/>
    <cellStyle name="Normal 5 6 5 2 3" xfId="13333" xr:uid="{684FE856-F4A3-45F8-A2ED-2CBEDB86376B}"/>
    <cellStyle name="Normal 5 6 5 2 4" xfId="21780" xr:uid="{F58F0D0E-A260-4053-A66F-67F17AB5FB9D}"/>
    <cellStyle name="Normal 5 6 5 3" xfId="6079" xr:uid="{00000000-0005-0000-0000-0000BC1B0000}"/>
    <cellStyle name="Normal 5 6 5 3 2" xfId="15405" xr:uid="{C5AA42ED-1EDA-48F6-9DBD-69BF6DF4E73A}"/>
    <cellStyle name="Normal 5 6 5 3 3" xfId="23852" xr:uid="{AD0EB3A3-0B08-44B2-8BFD-E88263054861}"/>
    <cellStyle name="Normal 5 6 5 4" xfId="11188" xr:uid="{046E721E-684C-4E54-8FA0-06B29284B31B}"/>
    <cellStyle name="Normal 5 6 5 5" xfId="19635" xr:uid="{68C0C3DF-76BE-463D-A53E-4A52C750EC37}"/>
    <cellStyle name="Normal 5 6 6" xfId="2186" xr:uid="{00000000-0005-0000-0000-0000BD1B0000}"/>
    <cellStyle name="Normal 5 6 6 2" xfId="4415" xr:uid="{00000000-0005-0000-0000-0000BE1B0000}"/>
    <cellStyle name="Normal 5 6 6 2 2" xfId="8637" xr:uid="{00000000-0005-0000-0000-0000BF1B0000}"/>
    <cellStyle name="Normal 5 6 6 2 2 2" xfId="17963" xr:uid="{384EF9D1-9739-42FD-AF3B-E95FAB7FE810}"/>
    <cellStyle name="Normal 5 6 6 2 2 3" xfId="26410" xr:uid="{6E64A5BE-08A4-4F0E-9456-BDFB2FB7E743}"/>
    <cellStyle name="Normal 5 6 6 2 3" xfId="13746" xr:uid="{54619FD8-A635-47A9-AB6F-D153390349AC}"/>
    <cellStyle name="Normal 5 6 6 2 4" xfId="22193" xr:uid="{4638800F-5790-41E5-8ABC-0DC9A4F395F9}"/>
    <cellStyle name="Normal 5 6 6 3" xfId="6492" xr:uid="{00000000-0005-0000-0000-0000C01B0000}"/>
    <cellStyle name="Normal 5 6 6 3 2" xfId="15818" xr:uid="{41BF4FA9-8AD8-464E-9AA5-76676739937E}"/>
    <cellStyle name="Normal 5 6 6 3 3" xfId="24265" xr:uid="{7B462239-C81B-4E68-84F8-0D73F0A72EBD}"/>
    <cellStyle name="Normal 5 6 6 4" xfId="11601" xr:uid="{23E35838-4EC6-4AA5-ACB1-41E67E58F986}"/>
    <cellStyle name="Normal 5 6 6 5" xfId="20048" xr:uid="{826CCFC8-3C08-47F7-B141-4A8B93939079}"/>
    <cellStyle name="Normal 5 6 7" xfId="2622" xr:uid="{00000000-0005-0000-0000-0000C11B0000}"/>
    <cellStyle name="Normal 5 6 7 2" xfId="6905" xr:uid="{00000000-0005-0000-0000-0000C21B0000}"/>
    <cellStyle name="Normal 5 6 7 2 2" xfId="16231" xr:uid="{F73E356A-5D77-443E-A48A-595DC2EEDFD1}"/>
    <cellStyle name="Normal 5 6 7 2 3" xfId="24678" xr:uid="{FAE36730-2674-4AE3-B7D3-CC23B0795636}"/>
    <cellStyle name="Normal 5 6 7 3" xfId="12014" xr:uid="{5CD6C93B-76BA-4E53-A6C2-FCF8AE8AF576}"/>
    <cellStyle name="Normal 5 6 7 4" xfId="20461" xr:uid="{1EA99FF1-3806-47C7-AFB3-668054544705}"/>
    <cellStyle name="Normal 5 6 8" xfId="4840" xr:uid="{00000000-0005-0000-0000-0000C31B0000}"/>
    <cellStyle name="Normal 5 6 8 2" xfId="14166" xr:uid="{D0BB782D-DA0B-4DC1-8D57-56E4D4E203E6}"/>
    <cellStyle name="Normal 5 6 8 3" xfId="22613" xr:uid="{7716B3A7-F8AA-4E39-95EB-008BFD3662CF}"/>
    <cellStyle name="Normal 5 6 9" xfId="8844" xr:uid="{91B947E4-8FF0-409F-B157-688724766D9F}"/>
    <cellStyle name="Normal 5 7" xfId="470" xr:uid="{00000000-0005-0000-0000-0000C41B0000}"/>
    <cellStyle name="Normal 5 7 10" xfId="18398" xr:uid="{DA7B35A3-9273-4075-902F-5590F3457F47}"/>
    <cellStyle name="Normal 5 7 2" xfId="944" xr:uid="{00000000-0005-0000-0000-0000C51B0000}"/>
    <cellStyle name="Normal 5 7 2 2" xfId="3178" xr:uid="{00000000-0005-0000-0000-0000C61B0000}"/>
    <cellStyle name="Normal 5 7 2 2 2" xfId="7400" xr:uid="{00000000-0005-0000-0000-0000C71B0000}"/>
    <cellStyle name="Normal 5 7 2 2 2 2" xfId="16726" xr:uid="{86420236-6316-41D5-8238-F8B5B3768F9C}"/>
    <cellStyle name="Normal 5 7 2 2 2 3" xfId="25173" xr:uid="{0587B36C-750B-47E8-A47A-E161A3634903}"/>
    <cellStyle name="Normal 5 7 2 2 3" xfId="12509" xr:uid="{B0FC63BE-D50C-4779-A1C4-15D2DB1D3476}"/>
    <cellStyle name="Normal 5 7 2 2 4" xfId="20956" xr:uid="{BB2727A9-F6BC-48AE-9A79-923289B5D541}"/>
    <cellStyle name="Normal 5 7 2 3" xfId="5255" xr:uid="{00000000-0005-0000-0000-0000C81B0000}"/>
    <cellStyle name="Normal 5 7 2 3 2" xfId="14581" xr:uid="{4DE475BE-B1C3-495D-A1D8-FAA84FE0B26B}"/>
    <cellStyle name="Normal 5 7 2 3 3" xfId="23028" xr:uid="{E6AF6F14-A077-4198-9C88-A460434BBF5F}"/>
    <cellStyle name="Normal 5 7 2 4" xfId="9385" xr:uid="{2E4A3B0A-2E42-41AC-9564-09D1598995A2}"/>
    <cellStyle name="Normal 5 7 2 5" xfId="10364" xr:uid="{03919DC3-E70C-4257-994D-66A72F6354CF}"/>
    <cellStyle name="Normal 5 7 2 6" xfId="18811" xr:uid="{56E98268-6F58-4752-A4F4-75775FE59A29}"/>
    <cellStyle name="Normal 5 7 3" xfId="1361" xr:uid="{00000000-0005-0000-0000-0000C91B0000}"/>
    <cellStyle name="Normal 5 7 3 2" xfId="3591" xr:uid="{00000000-0005-0000-0000-0000CA1B0000}"/>
    <cellStyle name="Normal 5 7 3 2 2" xfId="7813" xr:uid="{00000000-0005-0000-0000-0000CB1B0000}"/>
    <cellStyle name="Normal 5 7 3 2 2 2" xfId="17139" xr:uid="{F870BA5D-3CC2-4DBC-81EB-5B05D755995C}"/>
    <cellStyle name="Normal 5 7 3 2 2 3" xfId="25586" xr:uid="{4EA28E4F-3A9F-421A-8D05-174F4493FA66}"/>
    <cellStyle name="Normal 5 7 3 2 3" xfId="12922" xr:uid="{A06F8598-C942-4DC7-AF78-08B17298C700}"/>
    <cellStyle name="Normal 5 7 3 2 4" xfId="21369" xr:uid="{C8435E63-EB42-4099-996C-1DC5D29260BB}"/>
    <cellStyle name="Normal 5 7 3 3" xfId="5668" xr:uid="{00000000-0005-0000-0000-0000CC1B0000}"/>
    <cellStyle name="Normal 5 7 3 3 2" xfId="14994" xr:uid="{3CB0AC9D-A27F-4699-BB7E-D6FC0EC1CA4D}"/>
    <cellStyle name="Normal 5 7 3 3 3" xfId="23441" xr:uid="{F0453CC8-B039-47DF-B07F-9CFAA7D12652}"/>
    <cellStyle name="Normal 5 7 3 4" xfId="10777" xr:uid="{A6B209D9-8A5A-48C2-9977-11F653E1A351}"/>
    <cellStyle name="Normal 5 7 3 5" xfId="19224" xr:uid="{DF63773C-46FA-407B-B9D5-D417E9B7087B}"/>
    <cellStyle name="Normal 5 7 4" xfId="1774" xr:uid="{00000000-0005-0000-0000-0000CD1B0000}"/>
    <cellStyle name="Normal 5 7 4 2" xfId="4004" xr:uid="{00000000-0005-0000-0000-0000CE1B0000}"/>
    <cellStyle name="Normal 5 7 4 2 2" xfId="8226" xr:uid="{00000000-0005-0000-0000-0000CF1B0000}"/>
    <cellStyle name="Normal 5 7 4 2 2 2" xfId="17552" xr:uid="{E508FC0C-ABFE-4712-B9E9-62522F66DD29}"/>
    <cellStyle name="Normal 5 7 4 2 2 3" xfId="25999" xr:uid="{74119731-FE99-40FD-8908-EC5D812D8E70}"/>
    <cellStyle name="Normal 5 7 4 2 3" xfId="13335" xr:uid="{F0764FE4-0D2D-4D1D-9062-7169BD4962F7}"/>
    <cellStyle name="Normal 5 7 4 2 4" xfId="21782" xr:uid="{08A35C31-63D6-487B-A81C-E747328115BC}"/>
    <cellStyle name="Normal 5 7 4 3" xfId="6081" xr:uid="{00000000-0005-0000-0000-0000D01B0000}"/>
    <cellStyle name="Normal 5 7 4 3 2" xfId="15407" xr:uid="{282308B1-A5E6-42D8-AA98-3294F3FA9989}"/>
    <cellStyle name="Normal 5 7 4 3 3" xfId="23854" xr:uid="{90FE693B-A8C2-4A03-A6D5-227AEB106202}"/>
    <cellStyle name="Normal 5 7 4 4" xfId="11190" xr:uid="{ACBE68C6-0DE8-4F79-AE46-6D93ECA8F24E}"/>
    <cellStyle name="Normal 5 7 4 5" xfId="19637" xr:uid="{6F972A98-289C-49CD-A039-CF485A2B0EAE}"/>
    <cellStyle name="Normal 5 7 5" xfId="2188" xr:uid="{00000000-0005-0000-0000-0000D11B0000}"/>
    <cellStyle name="Normal 5 7 5 2" xfId="4417" xr:uid="{00000000-0005-0000-0000-0000D21B0000}"/>
    <cellStyle name="Normal 5 7 5 2 2" xfId="8639" xr:uid="{00000000-0005-0000-0000-0000D31B0000}"/>
    <cellStyle name="Normal 5 7 5 2 2 2" xfId="17965" xr:uid="{76C03CF7-28D3-45F0-BD57-03226E4496CD}"/>
    <cellStyle name="Normal 5 7 5 2 2 3" xfId="26412" xr:uid="{0B453163-2FFA-4833-977A-4B7DEDC46295}"/>
    <cellStyle name="Normal 5 7 5 2 3" xfId="13748" xr:uid="{68AA9255-1C70-4D17-AA8F-FDCCD133BAFD}"/>
    <cellStyle name="Normal 5 7 5 2 4" xfId="22195" xr:uid="{3BBE5FA0-35BF-41ED-A3EF-DFC3EDBEC0D6}"/>
    <cellStyle name="Normal 5 7 5 3" xfId="6494" xr:uid="{00000000-0005-0000-0000-0000D41B0000}"/>
    <cellStyle name="Normal 5 7 5 3 2" xfId="15820" xr:uid="{3EB78AFD-5D74-4712-838D-5DBE060023BD}"/>
    <cellStyle name="Normal 5 7 5 3 3" xfId="24267" xr:uid="{E986D181-8752-442C-AA2A-A1F8732FA110}"/>
    <cellStyle name="Normal 5 7 5 4" xfId="11603" xr:uid="{B8932BC5-6FC9-460A-A5AD-F37204CC9AFC}"/>
    <cellStyle name="Normal 5 7 5 5" xfId="20050" xr:uid="{7B29CA1B-250D-402F-B221-4C0DBD9B986C}"/>
    <cellStyle name="Normal 5 7 6" xfId="2624" xr:uid="{00000000-0005-0000-0000-0000D51B0000}"/>
    <cellStyle name="Normal 5 7 6 2" xfId="6907" xr:uid="{00000000-0005-0000-0000-0000D61B0000}"/>
    <cellStyle name="Normal 5 7 6 2 2" xfId="16233" xr:uid="{55495E44-0B95-4A9E-BB37-2262D5C58B0D}"/>
    <cellStyle name="Normal 5 7 6 2 3" xfId="24680" xr:uid="{3B935AE6-C34E-4560-88D2-C27ACCE675B8}"/>
    <cellStyle name="Normal 5 7 6 3" xfId="12016" xr:uid="{A7ABCDC7-4399-4D46-8DAA-F8C67D29B6F0}"/>
    <cellStyle name="Normal 5 7 6 4" xfId="20463" xr:uid="{77BA900B-CC13-4FFB-A660-EF9BE6A92345}"/>
    <cellStyle name="Normal 5 7 7" xfId="4842" xr:uid="{00000000-0005-0000-0000-0000D71B0000}"/>
    <cellStyle name="Normal 5 7 7 2" xfId="14168" xr:uid="{2DC3E44F-E30A-4ED1-89CE-F201960054B3}"/>
    <cellStyle name="Normal 5 7 7 3" xfId="22615" xr:uid="{155FA5FE-DEEC-415A-BBE5-6D4C2680BB25}"/>
    <cellStyle name="Normal 5 7 8" xfId="8960" xr:uid="{F4BEC964-53C9-4393-B7F1-69B47FC1FF25}"/>
    <cellStyle name="Normal 5 7 9" xfId="9951" xr:uid="{8851C9FC-5EF6-4611-86E9-288A700F3273}"/>
    <cellStyle name="Normal 5 8" xfId="880" xr:uid="{00000000-0005-0000-0000-0000D81B0000}"/>
    <cellStyle name="Normal 5 8 2" xfId="3115" xr:uid="{00000000-0005-0000-0000-0000D91B0000}"/>
    <cellStyle name="Normal 5 8 2 2" xfId="7337" xr:uid="{00000000-0005-0000-0000-0000DA1B0000}"/>
    <cellStyle name="Normal 5 8 2 2 2" xfId="16663" xr:uid="{0D58D10E-8643-4F38-97BA-26A74698D1A3}"/>
    <cellStyle name="Normal 5 8 2 2 3" xfId="25110" xr:uid="{2682C27B-63BD-4CFF-87D5-D03495CB4864}"/>
    <cellStyle name="Normal 5 8 2 3" xfId="12446" xr:uid="{3B7CB4F3-CD05-4FE0-B1B5-870797AD44C7}"/>
    <cellStyle name="Normal 5 8 2 4" xfId="20893" xr:uid="{32A12E06-F823-4E7C-A751-AF077AE6014B}"/>
    <cellStyle name="Normal 5 8 3" xfId="5192" xr:uid="{00000000-0005-0000-0000-0000DB1B0000}"/>
    <cellStyle name="Normal 5 8 3 2" xfId="14518" xr:uid="{38152BBF-01D9-4D3F-AD56-27CFDE326C7D}"/>
    <cellStyle name="Normal 5 8 3 3" xfId="22965" xr:uid="{10A23C1A-B77B-47B3-8088-C3FF0A4334CF}"/>
    <cellStyle name="Normal 5 8 4" xfId="9163" xr:uid="{44C7CAD4-DD7C-48E0-9142-8ED22123C662}"/>
    <cellStyle name="Normal 5 8 5" xfId="10301" xr:uid="{68A3014C-A9F8-46EA-A504-6F353F2B5DEF}"/>
    <cellStyle name="Normal 5 8 6" xfId="18748" xr:uid="{3A372044-7242-49F1-965D-7BBABFDCC593}"/>
    <cellStyle name="Normal 5 9" xfId="1298" xr:uid="{00000000-0005-0000-0000-0000DC1B0000}"/>
    <cellStyle name="Normal 5 9 2" xfId="3528" xr:uid="{00000000-0005-0000-0000-0000DD1B0000}"/>
    <cellStyle name="Normal 5 9 2 2" xfId="7750" xr:uid="{00000000-0005-0000-0000-0000DE1B0000}"/>
    <cellStyle name="Normal 5 9 2 2 2" xfId="17076" xr:uid="{727BD007-DDE7-4572-83CD-CEBCA1384C3B}"/>
    <cellStyle name="Normal 5 9 2 2 3" xfId="25523" xr:uid="{D9AF711A-D121-44BF-B5AF-C9DE903A393F}"/>
    <cellStyle name="Normal 5 9 2 3" xfId="12859" xr:uid="{6E22C90A-A84D-4431-9932-A49C2BB6715A}"/>
    <cellStyle name="Normal 5 9 2 4" xfId="21306" xr:uid="{8D604BB8-46C3-425F-A528-672DB81D9F04}"/>
    <cellStyle name="Normal 5 9 3" xfId="5605" xr:uid="{00000000-0005-0000-0000-0000DF1B0000}"/>
    <cellStyle name="Normal 5 9 3 2" xfId="14931" xr:uid="{04B3C254-94CF-4533-BF8D-DEF84E2EABAD}"/>
    <cellStyle name="Normal 5 9 3 3" xfId="23378" xr:uid="{11CA6A7C-E6DC-4468-B0BF-6EB43CB6F43E}"/>
    <cellStyle name="Normal 5 9 4" xfId="10714" xr:uid="{691C212E-4EC9-4DC7-B929-BE25CB34EFCB}"/>
    <cellStyle name="Normal 5 9 5" xfId="19161" xr:uid="{FC5A5E70-A307-49D6-92C0-54E2DA3B65C3}"/>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7DE12166-2CC7-4A9A-9D0C-4ACFB2196647}"/>
    <cellStyle name="Normal 8 10 2 2 3" xfId="26413" xr:uid="{F9733EDF-FEC6-4FB9-9C1C-713B092992BB}"/>
    <cellStyle name="Normal 8 10 2 3" xfId="13749" xr:uid="{64C187E9-A2DE-499A-940A-6CC0062E9A4F}"/>
    <cellStyle name="Normal 8 10 2 4" xfId="22196" xr:uid="{0EA286BD-73A1-430D-B1A6-CDB6660B2958}"/>
    <cellStyle name="Normal 8 10 3" xfId="6495" xr:uid="{00000000-0005-0000-0000-0000EB1B0000}"/>
    <cellStyle name="Normal 8 10 3 2" xfId="15821" xr:uid="{F7BE0EAF-57DB-403C-95C9-18A8F71F0FCA}"/>
    <cellStyle name="Normal 8 10 3 3" xfId="24268" xr:uid="{66E6649D-5917-495E-A0A9-B9D762FEB049}"/>
    <cellStyle name="Normal 8 10 4" xfId="11604" xr:uid="{BAD36174-8553-4EF8-AF00-BE5D8B623E55}"/>
    <cellStyle name="Normal 8 10 5" xfId="20051" xr:uid="{834C4BE4-9D47-421F-8DB1-C7D3BBFDEE57}"/>
    <cellStyle name="Normal 8 11" xfId="2625" xr:uid="{00000000-0005-0000-0000-0000EC1B0000}"/>
    <cellStyle name="Normal 8 11 2" xfId="6908" xr:uid="{00000000-0005-0000-0000-0000ED1B0000}"/>
    <cellStyle name="Normal 8 11 2 2" xfId="16234" xr:uid="{0344C3DB-7058-4C86-A659-A2ECC6A1EEF9}"/>
    <cellStyle name="Normal 8 11 2 3" xfId="24681" xr:uid="{766A3EA2-68C2-475C-911A-6BCAEA0A9EAE}"/>
    <cellStyle name="Normal 8 11 3" xfId="12017" xr:uid="{50B0C446-A680-4DD6-A865-B38AD0FB4C84}"/>
    <cellStyle name="Normal 8 11 4" xfId="20464" xr:uid="{52D178D9-2D44-461B-A0EC-0F07B08270CD}"/>
    <cellStyle name="Normal 8 12" xfId="4843" xr:uid="{00000000-0005-0000-0000-0000EE1B0000}"/>
    <cellStyle name="Normal 8 12 2" xfId="14169" xr:uid="{400FEB39-2963-44D1-8462-B7AD81B0EB51}"/>
    <cellStyle name="Normal 8 12 3" xfId="22616" xr:uid="{F4089229-3E00-4461-8421-15FDB82F4165}"/>
    <cellStyle name="Normal 8 13" xfId="8742" xr:uid="{AF36CBBC-3EEB-4AC8-923B-65C7C2418AB0}"/>
    <cellStyle name="Normal 8 14" xfId="9952" xr:uid="{11B83CD8-4104-4B72-A471-B1952B49749F}"/>
    <cellStyle name="Normal 8 15" xfId="18399" xr:uid="{16CC63D2-0008-448D-8163-8F86AF9C45BC}"/>
    <cellStyle name="Normal 8 2" xfId="479" xr:uid="{00000000-0005-0000-0000-0000EF1B0000}"/>
    <cellStyle name="Normal 8 2 10" xfId="2626" xr:uid="{00000000-0005-0000-0000-0000F01B0000}"/>
    <cellStyle name="Normal 8 2 10 2" xfId="6909" xr:uid="{00000000-0005-0000-0000-0000F11B0000}"/>
    <cellStyle name="Normal 8 2 10 2 2" xfId="16235" xr:uid="{426C9086-DA49-4DEC-BAFA-ABEAC99D548C}"/>
    <cellStyle name="Normal 8 2 10 2 3" xfId="24682" xr:uid="{C5237ACA-FC49-4497-AB8A-6593CA150EF5}"/>
    <cellStyle name="Normal 8 2 10 3" xfId="12018" xr:uid="{29A15941-FC7D-4147-A3C9-B6B0DC775CE7}"/>
    <cellStyle name="Normal 8 2 10 4" xfId="20465" xr:uid="{16DCCCE4-DE40-4AAA-9622-6E05E7A0DAA8}"/>
    <cellStyle name="Normal 8 2 11" xfId="4844" xr:uid="{00000000-0005-0000-0000-0000F21B0000}"/>
    <cellStyle name="Normal 8 2 11 2" xfId="14170" xr:uid="{844193EE-EF12-4E05-B0BB-0774D8CDFD5F}"/>
    <cellStyle name="Normal 8 2 11 3" xfId="22617" xr:uid="{2F465E3C-A7EA-49EB-A428-216BDE0CF7C6}"/>
    <cellStyle name="Normal 8 2 12" xfId="8751" xr:uid="{476D0553-3387-4D9F-B05B-56EC7A36F7A1}"/>
    <cellStyle name="Normal 8 2 13" xfId="9953" xr:uid="{B2DF4463-5BD3-4F24-BD98-B5966F86C82D}"/>
    <cellStyle name="Normal 8 2 14" xfId="18400" xr:uid="{5C9E932D-1022-40CF-81FA-6986D2935E51}"/>
    <cellStyle name="Normal 8 2 2" xfId="480" xr:uid="{00000000-0005-0000-0000-0000F31B0000}"/>
    <cellStyle name="Normal 8 2 2 10" xfId="4845" xr:uid="{00000000-0005-0000-0000-0000F41B0000}"/>
    <cellStyle name="Normal 8 2 2 10 2" xfId="14171" xr:uid="{0499FC83-6497-489E-A70D-444DDA75801B}"/>
    <cellStyle name="Normal 8 2 2 10 3" xfId="22618" xr:uid="{1174902A-C024-4340-B76D-6745F5C741FB}"/>
    <cellStyle name="Normal 8 2 2 11" xfId="8783" xr:uid="{3C426022-C415-47DA-A8EF-1D6CE72527BD}"/>
    <cellStyle name="Normal 8 2 2 12" xfId="9954" xr:uid="{9EAC1EF9-C624-427F-B6DB-858ADC53DBF5}"/>
    <cellStyle name="Normal 8 2 2 13" xfId="18401" xr:uid="{4728AD99-3859-4AE9-91AA-415E1C25136B}"/>
    <cellStyle name="Normal 8 2 2 2" xfId="481" xr:uid="{00000000-0005-0000-0000-0000F51B0000}"/>
    <cellStyle name="Normal 8 2 2 2 10" xfId="8836" xr:uid="{870E50AF-610D-4E0C-BDE0-389D6B32A0FA}"/>
    <cellStyle name="Normal 8 2 2 2 11" xfId="9955" xr:uid="{3E6C74FF-F4C6-4E70-9CFE-DF6AB78F60E6}"/>
    <cellStyle name="Normal 8 2 2 2 12" xfId="18402" xr:uid="{C4FEC8CA-766C-4962-B7B9-5DE12CC76B4D}"/>
    <cellStyle name="Normal 8 2 2 2 2" xfId="482" xr:uid="{00000000-0005-0000-0000-0000F61B0000}"/>
    <cellStyle name="Normal 8 2 2 2 2 10" xfId="9956" xr:uid="{E8FD3430-68CB-4679-8CEC-E251C0EC024A}"/>
    <cellStyle name="Normal 8 2 2 2 2 11" xfId="18403" xr:uid="{CC20B83D-8B68-4BCB-8A87-EA0B4A0602AD}"/>
    <cellStyle name="Normal 8 2 2 2 2 2" xfId="483" xr:uid="{00000000-0005-0000-0000-0000F71B0000}"/>
    <cellStyle name="Normal 8 2 2 2 2 2 10" xfId="18404" xr:uid="{6D3BB198-97CF-4BA9-818D-53BD38056166}"/>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EED06E6D-84AA-4514-93CB-1AC357FE8747}"/>
    <cellStyle name="Normal 8 2 2 2 2 2 2 2 2 3" xfId="25179" xr:uid="{C4A3E747-7426-4C42-8771-5CF93066DBE0}"/>
    <cellStyle name="Normal 8 2 2 2 2 2 2 2 3" xfId="12515" xr:uid="{AAA78AA2-1047-4A48-903A-3C99DF194BDE}"/>
    <cellStyle name="Normal 8 2 2 2 2 2 2 2 4" xfId="20962" xr:uid="{DC8F9203-0AF3-442F-A146-4558C69DEA27}"/>
    <cellStyle name="Normal 8 2 2 2 2 2 2 3" xfId="5261" xr:uid="{00000000-0005-0000-0000-0000FB1B0000}"/>
    <cellStyle name="Normal 8 2 2 2 2 2 2 3 2" xfId="14587" xr:uid="{05A87638-D77D-4688-B5D1-E1586E0FD29B}"/>
    <cellStyle name="Normal 8 2 2 2 2 2 2 3 3" xfId="23034" xr:uid="{0D65B6F5-76F5-4A4E-8E70-37C6973A791F}"/>
    <cellStyle name="Normal 8 2 2 2 2 2 2 4" xfId="9571" xr:uid="{B467C179-FE08-45F9-B1E6-E66379D80EBC}"/>
    <cellStyle name="Normal 8 2 2 2 2 2 2 5" xfId="10370" xr:uid="{CACE1DB2-8CC0-4F81-A2EF-5E8CEE430ECC}"/>
    <cellStyle name="Normal 8 2 2 2 2 2 2 6" xfId="18817" xr:uid="{BB02B927-DE3B-4C68-BF49-CC906561C5D9}"/>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0C1932FB-AFB7-4B1B-BBE7-378E041F1263}"/>
    <cellStyle name="Normal 8 2 2 2 2 2 3 2 2 3" xfId="25592" xr:uid="{999D5601-43A3-44F1-87B9-730FDC23FA01}"/>
    <cellStyle name="Normal 8 2 2 2 2 2 3 2 3" xfId="12928" xr:uid="{51CDB5A2-8574-40AA-B098-2F1553FA7EA2}"/>
    <cellStyle name="Normal 8 2 2 2 2 2 3 2 4" xfId="21375" xr:uid="{2EBE41AA-1CB6-4845-BA16-AC1ED675C656}"/>
    <cellStyle name="Normal 8 2 2 2 2 2 3 3" xfId="5674" xr:uid="{00000000-0005-0000-0000-0000FF1B0000}"/>
    <cellStyle name="Normal 8 2 2 2 2 2 3 3 2" xfId="15000" xr:uid="{4F544858-A829-4090-9039-719E073377A1}"/>
    <cellStyle name="Normal 8 2 2 2 2 2 3 3 3" xfId="23447" xr:uid="{C620875A-D6A8-4239-8DDA-DADE7C31FEBA}"/>
    <cellStyle name="Normal 8 2 2 2 2 2 3 4" xfId="10783" xr:uid="{915B5895-7274-4B71-93D6-69BC7A236A05}"/>
    <cellStyle name="Normal 8 2 2 2 2 2 3 5" xfId="19230" xr:uid="{9F445DCC-75B3-49A2-B8CB-6C131F274AA5}"/>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14112AB5-FC24-40AD-894D-4F9FB250B8CD}"/>
    <cellStyle name="Normal 8 2 2 2 2 2 4 2 2 3" xfId="26005" xr:uid="{F4671CEB-E48E-4547-A21F-97CBFE86DBDE}"/>
    <cellStyle name="Normal 8 2 2 2 2 2 4 2 3" xfId="13341" xr:uid="{74E9D7F7-FBC9-4C9F-B681-C0840018EF4D}"/>
    <cellStyle name="Normal 8 2 2 2 2 2 4 2 4" xfId="21788" xr:uid="{AD54723F-FDEE-4111-856F-18585D278AF7}"/>
    <cellStyle name="Normal 8 2 2 2 2 2 4 3" xfId="6087" xr:uid="{00000000-0005-0000-0000-0000031C0000}"/>
    <cellStyle name="Normal 8 2 2 2 2 2 4 3 2" xfId="15413" xr:uid="{7BB7F5D4-989C-48C3-8DEA-3960A18CA73A}"/>
    <cellStyle name="Normal 8 2 2 2 2 2 4 3 3" xfId="23860" xr:uid="{3FE9CC6C-6EFC-4CFF-AE2D-1818BF2868AA}"/>
    <cellStyle name="Normal 8 2 2 2 2 2 4 4" xfId="11196" xr:uid="{04E6620B-1030-4528-AC5E-674F3D2FEB0F}"/>
    <cellStyle name="Normal 8 2 2 2 2 2 4 5" xfId="19643" xr:uid="{25F79A44-4048-4018-8654-63A1ADE08689}"/>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81D3BD17-763A-4197-B44C-0A921EF29F06}"/>
    <cellStyle name="Normal 8 2 2 2 2 2 5 2 2 3" xfId="26418" xr:uid="{477AD1CE-CBDD-498A-B105-EDC357A96179}"/>
    <cellStyle name="Normal 8 2 2 2 2 2 5 2 3" xfId="13754" xr:uid="{C6234126-AA3D-45D7-96DB-ECEC43F695CC}"/>
    <cellStyle name="Normal 8 2 2 2 2 2 5 2 4" xfId="22201" xr:uid="{B437AA98-7A31-4CB5-A2DB-4674499A0393}"/>
    <cellStyle name="Normal 8 2 2 2 2 2 5 3" xfId="6500" xr:uid="{00000000-0005-0000-0000-0000071C0000}"/>
    <cellStyle name="Normal 8 2 2 2 2 2 5 3 2" xfId="15826" xr:uid="{1FC50C72-51D7-435E-AC05-CB9FFBBA358C}"/>
    <cellStyle name="Normal 8 2 2 2 2 2 5 3 3" xfId="24273" xr:uid="{4851E417-C047-4DD7-BB9B-C64610476EB2}"/>
    <cellStyle name="Normal 8 2 2 2 2 2 5 4" xfId="11609" xr:uid="{7423BFF0-93D3-4A16-A24A-7BB13E6BB6E1}"/>
    <cellStyle name="Normal 8 2 2 2 2 2 5 5" xfId="20056" xr:uid="{D92B105F-63A5-4A68-BA82-ACEE55CB9676}"/>
    <cellStyle name="Normal 8 2 2 2 2 2 6" xfId="2630" xr:uid="{00000000-0005-0000-0000-0000081C0000}"/>
    <cellStyle name="Normal 8 2 2 2 2 2 6 2" xfId="6913" xr:uid="{00000000-0005-0000-0000-0000091C0000}"/>
    <cellStyle name="Normal 8 2 2 2 2 2 6 2 2" xfId="16239" xr:uid="{AC32D162-EDB2-435D-B8FE-9559AF2DD454}"/>
    <cellStyle name="Normal 8 2 2 2 2 2 6 2 3" xfId="24686" xr:uid="{A3C35049-2AB7-4D71-A0CE-9FC0888BF4DD}"/>
    <cellStyle name="Normal 8 2 2 2 2 2 6 3" xfId="12022" xr:uid="{87808625-A22A-4E06-A070-DF8D92D2CAD5}"/>
    <cellStyle name="Normal 8 2 2 2 2 2 6 4" xfId="20469" xr:uid="{DA554FFA-8022-4AE3-97AE-6C3B3C9BCAF5}"/>
    <cellStyle name="Normal 8 2 2 2 2 2 7" xfId="4848" xr:uid="{00000000-0005-0000-0000-00000A1C0000}"/>
    <cellStyle name="Normal 8 2 2 2 2 2 7 2" xfId="14174" xr:uid="{ECAF8D50-5416-4265-8862-F55394E45F71}"/>
    <cellStyle name="Normal 8 2 2 2 2 2 7 3" xfId="22621" xr:uid="{651E2A31-4F0B-4C57-96D6-5DECC1848F50}"/>
    <cellStyle name="Normal 8 2 2 2 2 2 8" xfId="9146" xr:uid="{0E570703-055D-406D-8BD9-575AF6037A75}"/>
    <cellStyle name="Normal 8 2 2 2 2 2 9" xfId="9957" xr:uid="{A7C9A5E9-33AC-40BC-B3D7-44C9E367F87E}"/>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5C369CF7-F414-4408-AFA1-74157C64EF5D}"/>
    <cellStyle name="Normal 8 2 2 2 2 3 2 2 3" xfId="25178" xr:uid="{FA207468-EC79-4684-97D3-B3C8715DF45F}"/>
    <cellStyle name="Normal 8 2 2 2 2 3 2 3" xfId="12514" xr:uid="{FC538110-A8B6-4885-98FB-55DC55C633CA}"/>
    <cellStyle name="Normal 8 2 2 2 2 3 2 4" xfId="20961" xr:uid="{FFF33513-A19B-4C69-A35F-FED4764E70B1}"/>
    <cellStyle name="Normal 8 2 2 2 2 3 3" xfId="5260" xr:uid="{00000000-0005-0000-0000-00000E1C0000}"/>
    <cellStyle name="Normal 8 2 2 2 2 3 3 2" xfId="14586" xr:uid="{A195EA52-50C5-41E2-A9C8-784BB7CA3AD3}"/>
    <cellStyle name="Normal 8 2 2 2 2 3 3 3" xfId="23033" xr:uid="{2831ECBC-143F-481F-830C-E26640577AFC}"/>
    <cellStyle name="Normal 8 2 2 2 2 3 4" xfId="9364" xr:uid="{21426B7C-FC96-483C-B560-AC4767107497}"/>
    <cellStyle name="Normal 8 2 2 2 2 3 5" xfId="10369" xr:uid="{B1A603CD-80A9-4936-A131-84538BB4CD33}"/>
    <cellStyle name="Normal 8 2 2 2 2 3 6" xfId="18816" xr:uid="{D48CC47D-C033-4817-90F3-40F362718715}"/>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BD6E5AD3-C390-4C73-99AD-BCE6A1411B6D}"/>
    <cellStyle name="Normal 8 2 2 2 2 4 2 2 3" xfId="25591" xr:uid="{06A90787-811D-46EA-A15F-32A64B82AB60}"/>
    <cellStyle name="Normal 8 2 2 2 2 4 2 3" xfId="12927" xr:uid="{92E9282B-1978-4333-9F80-44E69403781A}"/>
    <cellStyle name="Normal 8 2 2 2 2 4 2 4" xfId="21374" xr:uid="{BB77A7FB-F520-4F68-932A-F604B96A9948}"/>
    <cellStyle name="Normal 8 2 2 2 2 4 3" xfId="5673" xr:uid="{00000000-0005-0000-0000-0000121C0000}"/>
    <cellStyle name="Normal 8 2 2 2 2 4 3 2" xfId="14999" xr:uid="{72884197-AB9A-47A0-A27C-865F80BE0ED0}"/>
    <cellStyle name="Normal 8 2 2 2 2 4 3 3" xfId="23446" xr:uid="{54699300-7B48-4F1D-BDFD-D788AFB7FC6D}"/>
    <cellStyle name="Normal 8 2 2 2 2 4 4" xfId="10782" xr:uid="{AA576C67-D5A9-4D76-A1E3-13E174A5A662}"/>
    <cellStyle name="Normal 8 2 2 2 2 4 5" xfId="19229" xr:uid="{4C07ADB7-F3DC-4F9F-8EA8-835043189BC8}"/>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8F2A3995-1D91-4F2E-B0F0-4FD1F5D1E06E}"/>
    <cellStyle name="Normal 8 2 2 2 2 5 2 2 3" xfId="26004" xr:uid="{E4F96A89-007C-48D5-9E25-5B88FF244629}"/>
    <cellStyle name="Normal 8 2 2 2 2 5 2 3" xfId="13340" xr:uid="{BD6B9EDC-260A-4141-A11D-81B3914B1B73}"/>
    <cellStyle name="Normal 8 2 2 2 2 5 2 4" xfId="21787" xr:uid="{D1075F9E-69DB-452B-A31A-D80FF825CBA4}"/>
    <cellStyle name="Normal 8 2 2 2 2 5 3" xfId="6086" xr:uid="{00000000-0005-0000-0000-0000161C0000}"/>
    <cellStyle name="Normal 8 2 2 2 2 5 3 2" xfId="15412" xr:uid="{E76CAD0F-6079-49F3-8F9E-27FADEB69BAA}"/>
    <cellStyle name="Normal 8 2 2 2 2 5 3 3" xfId="23859" xr:uid="{AD6BDC66-24AC-4E74-8178-BDACB4A1114D}"/>
    <cellStyle name="Normal 8 2 2 2 2 5 4" xfId="11195" xr:uid="{61A2414D-DE9B-4BA1-A685-B0E92DDB2F63}"/>
    <cellStyle name="Normal 8 2 2 2 2 5 5" xfId="19642" xr:uid="{05B31E70-A72A-4544-98E8-A86B48439FF2}"/>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2D1247BF-9B37-4EC3-936A-0085E06309D5}"/>
    <cellStyle name="Normal 8 2 2 2 2 6 2 2 3" xfId="26417" xr:uid="{36F13803-3EC4-4BF4-9B00-7175CA7DA377}"/>
    <cellStyle name="Normal 8 2 2 2 2 6 2 3" xfId="13753" xr:uid="{D37200B1-EC28-4C3F-9AFC-9F50EAF08206}"/>
    <cellStyle name="Normal 8 2 2 2 2 6 2 4" xfId="22200" xr:uid="{74AA0F78-0712-4493-AC08-915F37BF5F98}"/>
    <cellStyle name="Normal 8 2 2 2 2 6 3" xfId="6499" xr:uid="{00000000-0005-0000-0000-00001A1C0000}"/>
    <cellStyle name="Normal 8 2 2 2 2 6 3 2" xfId="15825" xr:uid="{8F6AB22C-F356-46FE-A633-DB8BEDAFB64B}"/>
    <cellStyle name="Normal 8 2 2 2 2 6 3 3" xfId="24272" xr:uid="{EB780669-3BB5-48A6-8468-E859E72CC176}"/>
    <cellStyle name="Normal 8 2 2 2 2 6 4" xfId="11608" xr:uid="{F5ACADDD-20A0-4416-B614-2E40AAEE5941}"/>
    <cellStyle name="Normal 8 2 2 2 2 6 5" xfId="20055" xr:uid="{3B53272C-49C2-4497-A090-FE2D0632C4C1}"/>
    <cellStyle name="Normal 8 2 2 2 2 7" xfId="2629" xr:uid="{00000000-0005-0000-0000-00001B1C0000}"/>
    <cellStyle name="Normal 8 2 2 2 2 7 2" xfId="6912" xr:uid="{00000000-0005-0000-0000-00001C1C0000}"/>
    <cellStyle name="Normal 8 2 2 2 2 7 2 2" xfId="16238" xr:uid="{BB70E956-AD7F-4902-9B8A-DBDCEF7F2ECE}"/>
    <cellStyle name="Normal 8 2 2 2 2 7 2 3" xfId="24685" xr:uid="{C5B65240-890B-4DEA-8CEC-DF8B55FC5851}"/>
    <cellStyle name="Normal 8 2 2 2 2 7 3" xfId="12021" xr:uid="{07F5AAC1-1044-4B22-ADA6-52B2E86A455A}"/>
    <cellStyle name="Normal 8 2 2 2 2 7 4" xfId="20468" xr:uid="{1AE61AF1-E5B7-46C2-BDAF-2AE366DED850}"/>
    <cellStyle name="Normal 8 2 2 2 2 8" xfId="4847" xr:uid="{00000000-0005-0000-0000-00001D1C0000}"/>
    <cellStyle name="Normal 8 2 2 2 2 8 2" xfId="14173" xr:uid="{7BA2779D-162A-41A5-B155-C59DBB6C88E3}"/>
    <cellStyle name="Normal 8 2 2 2 2 8 3" xfId="22620" xr:uid="{53AF0BAB-3DB2-4E4E-8C5A-D9D2B69E8021}"/>
    <cellStyle name="Normal 8 2 2 2 2 9" xfId="8939" xr:uid="{385BAC75-25D1-414A-8E33-9B6DCCA130DE}"/>
    <cellStyle name="Normal 8 2 2 2 3" xfId="484" xr:uid="{00000000-0005-0000-0000-00001E1C0000}"/>
    <cellStyle name="Normal 8 2 2 2 3 10" xfId="18405" xr:uid="{4FEED117-5F47-467F-8D64-7EEAB7B1456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6B68D42F-9820-41F5-98CC-235474284A24}"/>
    <cellStyle name="Normal 8 2 2 2 3 2 2 2 3" xfId="25180" xr:uid="{794690CC-4BA4-4787-9A70-F605EA0BB29C}"/>
    <cellStyle name="Normal 8 2 2 2 3 2 2 3" xfId="12516" xr:uid="{75659FDD-DEAD-44F3-819F-16DC298046A2}"/>
    <cellStyle name="Normal 8 2 2 2 3 2 2 4" xfId="20963" xr:uid="{DE17819F-AB86-4C87-839F-7E735FAA6096}"/>
    <cellStyle name="Normal 8 2 2 2 3 2 3" xfId="5262" xr:uid="{00000000-0005-0000-0000-0000221C0000}"/>
    <cellStyle name="Normal 8 2 2 2 3 2 3 2" xfId="14588" xr:uid="{7812E3D8-C34C-4F2C-9485-BF462CEB5602}"/>
    <cellStyle name="Normal 8 2 2 2 3 2 3 3" xfId="23035" xr:uid="{FA374F5C-62A0-4BC0-8C1D-7DBA11081C3B}"/>
    <cellStyle name="Normal 8 2 2 2 3 2 4" xfId="9468" xr:uid="{8CC4AD0E-72B4-4935-8967-B171D7B5EF8D}"/>
    <cellStyle name="Normal 8 2 2 2 3 2 5" xfId="10371" xr:uid="{C57F95B0-32E0-4E68-AF92-11E81D14C650}"/>
    <cellStyle name="Normal 8 2 2 2 3 2 6" xfId="18818" xr:uid="{C1C1B9FE-D280-4652-8685-385AA7E5570B}"/>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D47BF4D3-1FF9-4081-87DB-CD3616F539AE}"/>
    <cellStyle name="Normal 8 2 2 2 3 3 2 2 3" xfId="25593" xr:uid="{4BC230BD-CD4B-4D57-9386-CEDBAA2E6832}"/>
    <cellStyle name="Normal 8 2 2 2 3 3 2 3" xfId="12929" xr:uid="{03403F9C-2BC1-473F-AF95-5CD1DD1BCED9}"/>
    <cellStyle name="Normal 8 2 2 2 3 3 2 4" xfId="21376" xr:uid="{32505FFC-805C-4E40-8060-B5269F5FA0CB}"/>
    <cellStyle name="Normal 8 2 2 2 3 3 3" xfId="5675" xr:uid="{00000000-0005-0000-0000-0000261C0000}"/>
    <cellStyle name="Normal 8 2 2 2 3 3 3 2" xfId="15001" xr:uid="{C944FF9D-81C1-4311-B727-36EFD3FB052C}"/>
    <cellStyle name="Normal 8 2 2 2 3 3 3 3" xfId="23448" xr:uid="{B31254E5-1393-4A99-B81D-A78D47BACB6B}"/>
    <cellStyle name="Normal 8 2 2 2 3 3 4" xfId="10784" xr:uid="{A32C50FE-4BF1-4610-B108-48C0F727097D}"/>
    <cellStyle name="Normal 8 2 2 2 3 3 5" xfId="19231" xr:uid="{5C019F8B-0A4F-45A2-ABF5-8F63E1EEC9F5}"/>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6D5AF6B5-22B9-413F-8BEE-CE38D99FDDCE}"/>
    <cellStyle name="Normal 8 2 2 2 3 4 2 2 3" xfId="26006" xr:uid="{33BE46E0-8CD1-4903-9278-C029E1110EF8}"/>
    <cellStyle name="Normal 8 2 2 2 3 4 2 3" xfId="13342" xr:uid="{A9E1C40D-2BF3-419B-90C5-1B4B3300D7AB}"/>
    <cellStyle name="Normal 8 2 2 2 3 4 2 4" xfId="21789" xr:uid="{F842B682-2990-4B1F-A3A5-ADB1F9DF3979}"/>
    <cellStyle name="Normal 8 2 2 2 3 4 3" xfId="6088" xr:uid="{00000000-0005-0000-0000-00002A1C0000}"/>
    <cellStyle name="Normal 8 2 2 2 3 4 3 2" xfId="15414" xr:uid="{971C61CC-50BF-4169-A2E1-8F62FC116AA6}"/>
    <cellStyle name="Normal 8 2 2 2 3 4 3 3" xfId="23861" xr:uid="{3D6FD293-7A37-470F-BCB9-869B750B426E}"/>
    <cellStyle name="Normal 8 2 2 2 3 4 4" xfId="11197" xr:uid="{7FC723FE-E218-4116-A051-023B004272CF}"/>
    <cellStyle name="Normal 8 2 2 2 3 4 5" xfId="19644" xr:uid="{0C6AA383-1181-448D-ACC5-205E38142BBC}"/>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446837B6-6A77-4473-ADEC-1FCBE44FEBB4}"/>
    <cellStyle name="Normal 8 2 2 2 3 5 2 2 3" xfId="26419" xr:uid="{DA99AE44-D255-4D3E-BA64-EF499BABF475}"/>
    <cellStyle name="Normal 8 2 2 2 3 5 2 3" xfId="13755" xr:uid="{2DA31C9B-4A5F-40F9-87AA-E8B72F6CFC3B}"/>
    <cellStyle name="Normal 8 2 2 2 3 5 2 4" xfId="22202" xr:uid="{A531E4BF-CEAE-4D2C-A58F-DA756E0F8D4B}"/>
    <cellStyle name="Normal 8 2 2 2 3 5 3" xfId="6501" xr:uid="{00000000-0005-0000-0000-00002E1C0000}"/>
    <cellStyle name="Normal 8 2 2 2 3 5 3 2" xfId="15827" xr:uid="{CDF88557-DDAD-4E26-BB79-85A862735DAE}"/>
    <cellStyle name="Normal 8 2 2 2 3 5 3 3" xfId="24274" xr:uid="{D4044D17-E0F2-4A83-8832-40C85CA4A876}"/>
    <cellStyle name="Normal 8 2 2 2 3 5 4" xfId="11610" xr:uid="{641E7726-1046-40A4-AA46-14D1A3EA0443}"/>
    <cellStyle name="Normal 8 2 2 2 3 5 5" xfId="20057" xr:uid="{FA8A3C75-D426-414B-9629-FE281D35968A}"/>
    <cellStyle name="Normal 8 2 2 2 3 6" xfId="2631" xr:uid="{00000000-0005-0000-0000-00002F1C0000}"/>
    <cellStyle name="Normal 8 2 2 2 3 6 2" xfId="6914" xr:uid="{00000000-0005-0000-0000-0000301C0000}"/>
    <cellStyle name="Normal 8 2 2 2 3 6 2 2" xfId="16240" xr:uid="{D480A2F9-95BB-474D-AB60-D712AF3AF00A}"/>
    <cellStyle name="Normal 8 2 2 2 3 6 2 3" xfId="24687" xr:uid="{7179AF45-29FD-49B5-AD5F-25C21366282B}"/>
    <cellStyle name="Normal 8 2 2 2 3 6 3" xfId="12023" xr:uid="{C8ADCD24-2BCB-43B5-A79E-D3CDB08AA6DE}"/>
    <cellStyle name="Normal 8 2 2 2 3 6 4" xfId="20470" xr:uid="{E47F225C-6497-405E-B74B-4D3B1E034790}"/>
    <cellStyle name="Normal 8 2 2 2 3 7" xfId="4849" xr:uid="{00000000-0005-0000-0000-0000311C0000}"/>
    <cellStyle name="Normal 8 2 2 2 3 7 2" xfId="14175" xr:uid="{A04EE44B-303A-4811-91A9-DBA5B464A346}"/>
    <cellStyle name="Normal 8 2 2 2 3 7 3" xfId="22622" xr:uid="{42919176-06F1-4272-9415-3FB09CD3C9BF}"/>
    <cellStyle name="Normal 8 2 2 2 3 8" xfId="9043" xr:uid="{BAC463DF-40A7-4F07-ADD3-7274E57F505C}"/>
    <cellStyle name="Normal 8 2 2 2 3 9" xfId="9958" xr:uid="{0A58D7E7-5311-431F-914D-739680AC440F}"/>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88161FDB-B1CA-4DFC-8B2C-06DAEE2B9366}"/>
    <cellStyle name="Normal 8 2 2 2 4 2 2 3" xfId="25177" xr:uid="{D9C8417F-B3E0-46C3-86E9-18374B611140}"/>
    <cellStyle name="Normal 8 2 2 2 4 2 3" xfId="12513" xr:uid="{4A30CBEB-5486-4818-86F1-069CA7589A85}"/>
    <cellStyle name="Normal 8 2 2 2 4 2 4" xfId="20960" xr:uid="{F8CA8B8A-4817-4550-AFE0-B4354283ABB8}"/>
    <cellStyle name="Normal 8 2 2 2 4 3" xfId="5259" xr:uid="{00000000-0005-0000-0000-0000351C0000}"/>
    <cellStyle name="Normal 8 2 2 2 4 3 2" xfId="14585" xr:uid="{7849D545-BF4E-4105-933D-3038F78F4050}"/>
    <cellStyle name="Normal 8 2 2 2 4 3 3" xfId="23032" xr:uid="{53D92184-754B-43CE-A62B-159127F1F57A}"/>
    <cellStyle name="Normal 8 2 2 2 4 4" xfId="9261" xr:uid="{70C29865-A6DE-4682-9EB1-83E4E07FD0A7}"/>
    <cellStyle name="Normal 8 2 2 2 4 5" xfId="10368" xr:uid="{28F687AC-DDAC-45AE-AA0C-428DA53336F4}"/>
    <cellStyle name="Normal 8 2 2 2 4 6" xfId="18815" xr:uid="{084518E2-59E3-48F6-9C74-FAACE0B696AD}"/>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CEC4E5E0-BF2B-42C6-A3BD-B0C28895504D}"/>
    <cellStyle name="Normal 8 2 2 2 5 2 2 3" xfId="25590" xr:uid="{05847EE2-0114-4721-8FC3-3C14D510B320}"/>
    <cellStyle name="Normal 8 2 2 2 5 2 3" xfId="12926" xr:uid="{736FFC5C-596F-4AFB-9991-CCCAA87481F0}"/>
    <cellStyle name="Normal 8 2 2 2 5 2 4" xfId="21373" xr:uid="{B5CC6868-453B-43F3-A9BD-C05C2AA430F3}"/>
    <cellStyle name="Normal 8 2 2 2 5 3" xfId="5672" xr:uid="{00000000-0005-0000-0000-0000391C0000}"/>
    <cellStyle name="Normal 8 2 2 2 5 3 2" xfId="14998" xr:uid="{1A750DB0-C2A9-4594-A2CD-C4937972EEC8}"/>
    <cellStyle name="Normal 8 2 2 2 5 3 3" xfId="23445" xr:uid="{4E60C460-BFAE-49E0-95F4-D127EE490864}"/>
    <cellStyle name="Normal 8 2 2 2 5 4" xfId="10781" xr:uid="{C904A117-1357-4AE1-942F-B44C752A1048}"/>
    <cellStyle name="Normal 8 2 2 2 5 5" xfId="19228" xr:uid="{9AC2C7CA-1922-46EC-845D-FC52EBD15FE6}"/>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28A201F0-7F28-45B9-A48A-737DEBEB589D}"/>
    <cellStyle name="Normal 8 2 2 2 6 2 2 3" xfId="26003" xr:uid="{073C0011-3538-45AF-A236-4E3117E5B52E}"/>
    <cellStyle name="Normal 8 2 2 2 6 2 3" xfId="13339" xr:uid="{E1BA1A65-4A51-4751-A6DD-EFA42B5CCB5B}"/>
    <cellStyle name="Normal 8 2 2 2 6 2 4" xfId="21786" xr:uid="{2E091D4B-EA3F-4A91-AFE2-C6FDEA1FAA6B}"/>
    <cellStyle name="Normal 8 2 2 2 6 3" xfId="6085" xr:uid="{00000000-0005-0000-0000-00003D1C0000}"/>
    <cellStyle name="Normal 8 2 2 2 6 3 2" xfId="15411" xr:uid="{30A5CA5A-CDBB-49AB-AEAD-A1281399F816}"/>
    <cellStyle name="Normal 8 2 2 2 6 3 3" xfId="23858" xr:uid="{5F3D4237-BF55-4219-B010-C7D701439F92}"/>
    <cellStyle name="Normal 8 2 2 2 6 4" xfId="11194" xr:uid="{3DD9308E-11BC-478B-9AE9-CCFDA1182DB5}"/>
    <cellStyle name="Normal 8 2 2 2 6 5" xfId="19641" xr:uid="{45D61A2B-59C5-4856-BD98-4204480D1BD1}"/>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D5F926A7-6D8A-46B5-8359-D9A75524054A}"/>
    <cellStyle name="Normal 8 2 2 2 7 2 2 3" xfId="26416" xr:uid="{9D4A1B16-B12F-4A36-AC70-D6A34FD5C4E5}"/>
    <cellStyle name="Normal 8 2 2 2 7 2 3" xfId="13752" xr:uid="{ECF33E57-4551-4DB7-BFDA-76273938E54E}"/>
    <cellStyle name="Normal 8 2 2 2 7 2 4" xfId="22199" xr:uid="{BCDE352B-FB17-4F1E-B0A8-15912FFF8A5F}"/>
    <cellStyle name="Normal 8 2 2 2 7 3" xfId="6498" xr:uid="{00000000-0005-0000-0000-0000411C0000}"/>
    <cellStyle name="Normal 8 2 2 2 7 3 2" xfId="15824" xr:uid="{F1928E9C-729E-44A1-8C1A-CBCCE7A579FF}"/>
    <cellStyle name="Normal 8 2 2 2 7 3 3" xfId="24271" xr:uid="{B594AEDA-6ED6-4BAE-A4AC-9AAB2EF5A7EA}"/>
    <cellStyle name="Normal 8 2 2 2 7 4" xfId="11607" xr:uid="{3246ADC6-2950-4164-8473-FDE541B8D8DC}"/>
    <cellStyle name="Normal 8 2 2 2 7 5" xfId="20054" xr:uid="{A1DB5130-C0A0-4B6F-A54D-CE652ECAD4FD}"/>
    <cellStyle name="Normal 8 2 2 2 8" xfId="2628" xr:uid="{00000000-0005-0000-0000-0000421C0000}"/>
    <cellStyle name="Normal 8 2 2 2 8 2" xfId="6911" xr:uid="{00000000-0005-0000-0000-0000431C0000}"/>
    <cellStyle name="Normal 8 2 2 2 8 2 2" xfId="16237" xr:uid="{53DA1D94-B4DA-4CB9-876E-4BF124A94D9C}"/>
    <cellStyle name="Normal 8 2 2 2 8 2 3" xfId="24684" xr:uid="{CE939351-6DBB-4FEF-BCDB-7C29445A3CE0}"/>
    <cellStyle name="Normal 8 2 2 2 8 3" xfId="12020" xr:uid="{DDF10EF8-34AD-4E52-BAEC-96B437096946}"/>
    <cellStyle name="Normal 8 2 2 2 8 4" xfId="20467" xr:uid="{AE59E1AD-5704-4C10-B83F-AA5F60CEE3F7}"/>
    <cellStyle name="Normal 8 2 2 2 9" xfId="4846" xr:uid="{00000000-0005-0000-0000-0000441C0000}"/>
    <cellStyle name="Normal 8 2 2 2 9 2" xfId="14172" xr:uid="{6E1D72F3-711F-40B8-A8CA-68A1138E8F2C}"/>
    <cellStyle name="Normal 8 2 2 2 9 3" xfId="22619" xr:uid="{EE2A5AD0-9AFA-4B28-88AB-DC3F262254E4}"/>
    <cellStyle name="Normal 8 2 2 3" xfId="485" xr:uid="{00000000-0005-0000-0000-0000451C0000}"/>
    <cellStyle name="Normal 8 2 2 3 10" xfId="9959" xr:uid="{E3F97139-E674-4893-B43C-7DB6E3B56A19}"/>
    <cellStyle name="Normal 8 2 2 3 11" xfId="18406" xr:uid="{7151EE05-1608-416E-95FE-4402EBEEA117}"/>
    <cellStyle name="Normal 8 2 2 3 2" xfId="486" xr:uid="{00000000-0005-0000-0000-0000461C0000}"/>
    <cellStyle name="Normal 8 2 2 3 2 10" xfId="18407" xr:uid="{D8BC4714-18AC-40DE-B41E-5F1F4C45E52B}"/>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D095ABEB-CF22-4BEF-9480-A6142A1F467F}"/>
    <cellStyle name="Normal 8 2 2 3 2 2 2 2 3" xfId="25182" xr:uid="{8E89828F-7C3A-4AC7-BE21-E8F652DF30E2}"/>
    <cellStyle name="Normal 8 2 2 3 2 2 2 3" xfId="12518" xr:uid="{E6188A1C-19AD-4BB4-8D23-5869F3D5F10D}"/>
    <cellStyle name="Normal 8 2 2 3 2 2 2 4" xfId="20965" xr:uid="{C8E2E0EB-2F61-461B-A290-7DC8F652B291}"/>
    <cellStyle name="Normal 8 2 2 3 2 2 3" xfId="5264" xr:uid="{00000000-0005-0000-0000-00004A1C0000}"/>
    <cellStyle name="Normal 8 2 2 3 2 2 3 2" xfId="14590" xr:uid="{CCA8F48B-B08C-42DA-8A00-9D2757E16D59}"/>
    <cellStyle name="Normal 8 2 2 3 2 2 3 3" xfId="23037" xr:uid="{301A394D-6A4A-4595-97ED-5EF4745AE1D9}"/>
    <cellStyle name="Normal 8 2 2 3 2 2 4" xfId="9518" xr:uid="{FDE93D5E-A6D1-456B-8726-FC2AB8FD16A4}"/>
    <cellStyle name="Normal 8 2 2 3 2 2 5" xfId="10373" xr:uid="{76CF62BA-BA6F-496A-BE72-266D1C6C9363}"/>
    <cellStyle name="Normal 8 2 2 3 2 2 6" xfId="18820" xr:uid="{96AB6A83-FDA6-4364-8848-69B69E60D59C}"/>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A78FA11B-D67C-4AD6-92D6-8C815CA32A70}"/>
    <cellStyle name="Normal 8 2 2 3 2 3 2 2 3" xfId="25595" xr:uid="{B8B05DB6-276D-4ACE-89B5-4936A7A78B97}"/>
    <cellStyle name="Normal 8 2 2 3 2 3 2 3" xfId="12931" xr:uid="{4EBE8C5C-6B24-48C9-8FAE-571462098BDF}"/>
    <cellStyle name="Normal 8 2 2 3 2 3 2 4" xfId="21378" xr:uid="{D0F2350E-9D11-4BBC-85D8-272C271BF1C9}"/>
    <cellStyle name="Normal 8 2 2 3 2 3 3" xfId="5677" xr:uid="{00000000-0005-0000-0000-00004E1C0000}"/>
    <cellStyle name="Normal 8 2 2 3 2 3 3 2" xfId="15003" xr:uid="{4EA880F1-FC12-4B7A-A126-FA1E57004BA5}"/>
    <cellStyle name="Normal 8 2 2 3 2 3 3 3" xfId="23450" xr:uid="{D843B1A1-B540-4C92-B3D4-213BDF125BE8}"/>
    <cellStyle name="Normal 8 2 2 3 2 3 4" xfId="10786" xr:uid="{AE5BB7D2-915F-48B7-A2FD-CFB32601D148}"/>
    <cellStyle name="Normal 8 2 2 3 2 3 5" xfId="19233" xr:uid="{0035AB3D-6972-4684-AF1D-50088D6625C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46438194-2640-4AF7-9AB1-AA6196F9D165}"/>
    <cellStyle name="Normal 8 2 2 3 2 4 2 2 3" xfId="26008" xr:uid="{A00BFC3A-07A5-460B-BF64-8B5ACCA67794}"/>
    <cellStyle name="Normal 8 2 2 3 2 4 2 3" xfId="13344" xr:uid="{43623D2C-5038-4BA1-B49E-2D2E18F6F7BB}"/>
    <cellStyle name="Normal 8 2 2 3 2 4 2 4" xfId="21791" xr:uid="{C79F849B-03F5-4B41-A712-5D7072B1B7BE}"/>
    <cellStyle name="Normal 8 2 2 3 2 4 3" xfId="6090" xr:uid="{00000000-0005-0000-0000-0000521C0000}"/>
    <cellStyle name="Normal 8 2 2 3 2 4 3 2" xfId="15416" xr:uid="{B57C5243-8CEB-4AA4-B806-3C45C9CE99C9}"/>
    <cellStyle name="Normal 8 2 2 3 2 4 3 3" xfId="23863" xr:uid="{03F1A593-6BCB-40A1-AE3F-5EDE345CE97D}"/>
    <cellStyle name="Normal 8 2 2 3 2 4 4" xfId="11199" xr:uid="{F01F4CFF-A41E-44FF-978E-2A38BE42ED2B}"/>
    <cellStyle name="Normal 8 2 2 3 2 4 5" xfId="19646" xr:uid="{938CE828-59C3-4163-B4D0-6CAE478B5671}"/>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43A41BA2-F03E-4F20-A66A-DFA061DF3B50}"/>
    <cellStyle name="Normal 8 2 2 3 2 5 2 2 3" xfId="26421" xr:uid="{E018BE52-3750-48A0-92BA-43CA326E38D9}"/>
    <cellStyle name="Normal 8 2 2 3 2 5 2 3" xfId="13757" xr:uid="{9D561358-BF59-45D4-AD59-6ECB5D8DC800}"/>
    <cellStyle name="Normal 8 2 2 3 2 5 2 4" xfId="22204" xr:uid="{32501340-4121-484D-9EF0-B48418523B7F}"/>
    <cellStyle name="Normal 8 2 2 3 2 5 3" xfId="6503" xr:uid="{00000000-0005-0000-0000-0000561C0000}"/>
    <cellStyle name="Normal 8 2 2 3 2 5 3 2" xfId="15829" xr:uid="{3265A7B2-4309-4067-92C0-30C860684DF2}"/>
    <cellStyle name="Normal 8 2 2 3 2 5 3 3" xfId="24276" xr:uid="{F77C1A99-8DEF-4B08-BB29-954649131731}"/>
    <cellStyle name="Normal 8 2 2 3 2 5 4" xfId="11612" xr:uid="{E13A1536-26BB-430B-9CFF-DC5C1EB9F0AA}"/>
    <cellStyle name="Normal 8 2 2 3 2 5 5" xfId="20059" xr:uid="{38EAC8F2-B75C-4582-B35B-2F92D04970B8}"/>
    <cellStyle name="Normal 8 2 2 3 2 6" xfId="2633" xr:uid="{00000000-0005-0000-0000-0000571C0000}"/>
    <cellStyle name="Normal 8 2 2 3 2 6 2" xfId="6916" xr:uid="{00000000-0005-0000-0000-0000581C0000}"/>
    <cellStyle name="Normal 8 2 2 3 2 6 2 2" xfId="16242" xr:uid="{60DB8F24-0AE5-42A0-8AC6-972CC7417022}"/>
    <cellStyle name="Normal 8 2 2 3 2 6 2 3" xfId="24689" xr:uid="{CC97E8B0-619D-408B-A0E7-3C11B9F71988}"/>
    <cellStyle name="Normal 8 2 2 3 2 6 3" xfId="12025" xr:uid="{9ADCDE56-0ADD-480C-B678-F807F07ED9B2}"/>
    <cellStyle name="Normal 8 2 2 3 2 6 4" xfId="20472" xr:uid="{C8E56E32-767C-403C-8791-44763AE0D9DD}"/>
    <cellStyle name="Normal 8 2 2 3 2 7" xfId="4851" xr:uid="{00000000-0005-0000-0000-0000591C0000}"/>
    <cellStyle name="Normal 8 2 2 3 2 7 2" xfId="14177" xr:uid="{8288ADAD-4B0A-4A1D-A1E4-21F543613311}"/>
    <cellStyle name="Normal 8 2 2 3 2 7 3" xfId="22624" xr:uid="{54DB49FF-72DB-4CA0-9737-B29533A2E5CB}"/>
    <cellStyle name="Normal 8 2 2 3 2 8" xfId="9093" xr:uid="{ADE34C72-BCCB-477C-B66A-BE7159CEB281}"/>
    <cellStyle name="Normal 8 2 2 3 2 9" xfId="9960" xr:uid="{21217C96-996D-4824-A8F3-00E07942A611}"/>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AF677E7B-F66F-4417-BABB-87747441333F}"/>
    <cellStyle name="Normal 8 2 2 3 3 2 2 3" xfId="25181" xr:uid="{9E803AAB-B0B1-41E3-BAEE-98161AAAE86C}"/>
    <cellStyle name="Normal 8 2 2 3 3 2 3" xfId="12517" xr:uid="{4736DEA4-4632-4173-99B2-061B9EC58353}"/>
    <cellStyle name="Normal 8 2 2 3 3 2 4" xfId="20964" xr:uid="{67710D5A-70C0-4045-B8F3-6D587C57F2E7}"/>
    <cellStyle name="Normal 8 2 2 3 3 3" xfId="5263" xr:uid="{00000000-0005-0000-0000-00005D1C0000}"/>
    <cellStyle name="Normal 8 2 2 3 3 3 2" xfId="14589" xr:uid="{169B4FDB-0F2B-46C8-A46A-0E04C419A39A}"/>
    <cellStyle name="Normal 8 2 2 3 3 3 3" xfId="23036" xr:uid="{4FCF7A2C-16FF-4F98-8560-7DD323C7DBC8}"/>
    <cellStyle name="Normal 8 2 2 3 3 4" xfId="9311" xr:uid="{F4618F1E-1235-4269-B5C6-B09BE5034F6C}"/>
    <cellStyle name="Normal 8 2 2 3 3 5" xfId="10372" xr:uid="{460E1D7A-0DC8-4E1A-BD50-3AB392932589}"/>
    <cellStyle name="Normal 8 2 2 3 3 6" xfId="18819" xr:uid="{BA25BD7B-7B6B-4284-93C1-E9C47A01B2A2}"/>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96CEE58E-EDCB-4BD0-A3BD-31528577552C}"/>
    <cellStyle name="Normal 8 2 2 3 4 2 2 3" xfId="25594" xr:uid="{72071B43-E79B-4056-BFFD-54FC2EFC6881}"/>
    <cellStyle name="Normal 8 2 2 3 4 2 3" xfId="12930" xr:uid="{34A93FB3-EBD1-40E2-BF05-42E8DCAF26F0}"/>
    <cellStyle name="Normal 8 2 2 3 4 2 4" xfId="21377" xr:uid="{46741E03-3768-45BD-B778-5BF1CAFC58E4}"/>
    <cellStyle name="Normal 8 2 2 3 4 3" xfId="5676" xr:uid="{00000000-0005-0000-0000-0000611C0000}"/>
    <cellStyle name="Normal 8 2 2 3 4 3 2" xfId="15002" xr:uid="{E843A06B-EA5F-47EF-9A02-53963A8B2117}"/>
    <cellStyle name="Normal 8 2 2 3 4 3 3" xfId="23449" xr:uid="{7A252F16-0E0E-4FAE-B9B6-1FCCF3E579BA}"/>
    <cellStyle name="Normal 8 2 2 3 4 4" xfId="10785" xr:uid="{F5CE7DAA-3FD7-4522-99FF-014AF86F9F81}"/>
    <cellStyle name="Normal 8 2 2 3 4 5" xfId="19232" xr:uid="{9BACADEC-905B-43E3-BE66-AEA876415BB8}"/>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9D33E509-D6DC-4DF3-9A70-49F0AE1CA3B1}"/>
    <cellStyle name="Normal 8 2 2 3 5 2 2 3" xfId="26007" xr:uid="{1FD9F8C4-C8C0-4A69-B87A-D1C9DC9048DD}"/>
    <cellStyle name="Normal 8 2 2 3 5 2 3" xfId="13343" xr:uid="{CB0ADC66-0DF7-4A7D-BF43-36184C070B18}"/>
    <cellStyle name="Normal 8 2 2 3 5 2 4" xfId="21790" xr:uid="{885475B9-53C8-43E5-8BDE-340B4BBED34C}"/>
    <cellStyle name="Normal 8 2 2 3 5 3" xfId="6089" xr:uid="{00000000-0005-0000-0000-0000651C0000}"/>
    <cellStyle name="Normal 8 2 2 3 5 3 2" xfId="15415" xr:uid="{A7DD79AE-E7EE-4A78-8467-CAEDE2C574F4}"/>
    <cellStyle name="Normal 8 2 2 3 5 3 3" xfId="23862" xr:uid="{C8E5DC35-B836-4E29-9A30-61C08A7EED6F}"/>
    <cellStyle name="Normal 8 2 2 3 5 4" xfId="11198" xr:uid="{0A244018-EA75-45AD-895B-08D86B851299}"/>
    <cellStyle name="Normal 8 2 2 3 5 5" xfId="19645" xr:uid="{57E00C04-2C1B-4571-A567-4901F0823D5C}"/>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2D6D41CF-7C2B-443A-AB90-20A1801BA673}"/>
    <cellStyle name="Normal 8 2 2 3 6 2 2 3" xfId="26420" xr:uid="{E5AC4AD5-9877-4137-8D92-AD1306F2E3D0}"/>
    <cellStyle name="Normal 8 2 2 3 6 2 3" xfId="13756" xr:uid="{4099F572-2A80-4919-B388-25FDBAB71454}"/>
    <cellStyle name="Normal 8 2 2 3 6 2 4" xfId="22203" xr:uid="{6317F56E-47A7-44C1-A81D-C083B4C42E5E}"/>
    <cellStyle name="Normal 8 2 2 3 6 3" xfId="6502" xr:uid="{00000000-0005-0000-0000-0000691C0000}"/>
    <cellStyle name="Normal 8 2 2 3 6 3 2" xfId="15828" xr:uid="{C6B4FEE1-64A1-440A-8643-D33A83EEB9B1}"/>
    <cellStyle name="Normal 8 2 2 3 6 3 3" xfId="24275" xr:uid="{36FD1C85-2193-4DDB-8831-A80467FE6357}"/>
    <cellStyle name="Normal 8 2 2 3 6 4" xfId="11611" xr:uid="{1C4D90D6-B0B3-4BC5-B5E0-CCB71DD3C2F6}"/>
    <cellStyle name="Normal 8 2 2 3 6 5" xfId="20058" xr:uid="{D850C9F9-F555-4F71-AD9F-87BDCD3EFA8A}"/>
    <cellStyle name="Normal 8 2 2 3 7" xfId="2632" xr:uid="{00000000-0005-0000-0000-00006A1C0000}"/>
    <cellStyle name="Normal 8 2 2 3 7 2" xfId="6915" xr:uid="{00000000-0005-0000-0000-00006B1C0000}"/>
    <cellStyle name="Normal 8 2 2 3 7 2 2" xfId="16241" xr:uid="{6C8F8B6F-C9DA-4458-A278-C6DE352089A5}"/>
    <cellStyle name="Normal 8 2 2 3 7 2 3" xfId="24688" xr:uid="{2CD20897-AFF4-40C0-B1F3-82A2889E6639}"/>
    <cellStyle name="Normal 8 2 2 3 7 3" xfId="12024" xr:uid="{40087359-C8B4-4C44-9C16-AB56FAC1C4B8}"/>
    <cellStyle name="Normal 8 2 2 3 7 4" xfId="20471" xr:uid="{43689BFD-2FFB-474E-8CC9-249391AE7435}"/>
    <cellStyle name="Normal 8 2 2 3 8" xfId="4850" xr:uid="{00000000-0005-0000-0000-00006C1C0000}"/>
    <cellStyle name="Normal 8 2 2 3 8 2" xfId="14176" xr:uid="{57057864-7ECC-4D62-998B-18D1E1B2577E}"/>
    <cellStyle name="Normal 8 2 2 3 8 3" xfId="22623" xr:uid="{6379C239-A742-497A-A02F-6BD4302ED42F}"/>
    <cellStyle name="Normal 8 2 2 3 9" xfId="8886" xr:uid="{B2A45ACA-2377-4A40-A818-E7106AD46E30}"/>
    <cellStyle name="Normal 8 2 2 4" xfId="487" xr:uid="{00000000-0005-0000-0000-00006D1C0000}"/>
    <cellStyle name="Normal 8 2 2 4 10" xfId="18408" xr:uid="{4A50D181-A85E-4BEA-99CA-E7722813B4CA}"/>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772374D1-8841-4408-863A-AD6C5A52C5D4}"/>
    <cellStyle name="Normal 8 2 2 4 2 2 2 3" xfId="25183" xr:uid="{23EB40A3-BB10-47DC-AB80-640847E6DBD8}"/>
    <cellStyle name="Normal 8 2 2 4 2 2 3" xfId="12519" xr:uid="{47076181-EA68-497C-B339-B5CCD7CE1E26}"/>
    <cellStyle name="Normal 8 2 2 4 2 2 4" xfId="20966" xr:uid="{A10A62D2-5F52-47FF-9737-E719F9A2DE82}"/>
    <cellStyle name="Normal 8 2 2 4 2 3" xfId="5265" xr:uid="{00000000-0005-0000-0000-0000711C0000}"/>
    <cellStyle name="Normal 8 2 2 4 2 3 2" xfId="14591" xr:uid="{B5F3B96B-F935-4857-918C-C6482D2CE60E}"/>
    <cellStyle name="Normal 8 2 2 4 2 3 3" xfId="23038" xr:uid="{FAC498E2-C0A0-43D3-994C-561B3B5ED84E}"/>
    <cellStyle name="Normal 8 2 2 4 2 4" xfId="9415" xr:uid="{88D7FF95-DEA9-4369-BE01-487FC7B2B7E8}"/>
    <cellStyle name="Normal 8 2 2 4 2 5" xfId="10374" xr:uid="{ED2502F2-1179-4B6A-A446-9BCA0EBEC6E6}"/>
    <cellStyle name="Normal 8 2 2 4 2 6" xfId="18821" xr:uid="{EEB80CAB-4E5A-4A6B-89D5-A1CBBB6B04DC}"/>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C6119C8A-499B-4EE8-B302-A505FFB6615C}"/>
    <cellStyle name="Normal 8 2 2 4 3 2 2 3" xfId="25596" xr:uid="{402F7F39-8C96-4CFB-ADDE-82BB19E2F6F2}"/>
    <cellStyle name="Normal 8 2 2 4 3 2 3" xfId="12932" xr:uid="{9C41D041-5334-4015-9C42-DE4D1FBD3CDC}"/>
    <cellStyle name="Normal 8 2 2 4 3 2 4" xfId="21379" xr:uid="{BDC52B30-E771-4B9D-B9AB-F617B39B4E09}"/>
    <cellStyle name="Normal 8 2 2 4 3 3" xfId="5678" xr:uid="{00000000-0005-0000-0000-0000751C0000}"/>
    <cellStyle name="Normal 8 2 2 4 3 3 2" xfId="15004" xr:uid="{AD1100CB-84EC-4DA6-9C64-04C04222CE47}"/>
    <cellStyle name="Normal 8 2 2 4 3 3 3" xfId="23451" xr:uid="{5143A06B-81E9-4700-9D0D-3A622230BBD5}"/>
    <cellStyle name="Normal 8 2 2 4 3 4" xfId="10787" xr:uid="{892203C2-8067-4F0B-93BD-30E180799B76}"/>
    <cellStyle name="Normal 8 2 2 4 3 5" xfId="19234" xr:uid="{61ED7B65-9053-420F-A0D1-5B46677B4CCB}"/>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CDC02BC4-ED8E-4314-980A-550FFC49472D}"/>
    <cellStyle name="Normal 8 2 2 4 4 2 2 3" xfId="26009" xr:uid="{246EA9B6-6245-4B2B-BBE7-560BB1973042}"/>
    <cellStyle name="Normal 8 2 2 4 4 2 3" xfId="13345" xr:uid="{D2BD02C4-8BE0-40D2-AF99-F6FCB080772A}"/>
    <cellStyle name="Normal 8 2 2 4 4 2 4" xfId="21792" xr:uid="{6386352A-E693-4526-B20B-CC9885808946}"/>
    <cellStyle name="Normal 8 2 2 4 4 3" xfId="6091" xr:uid="{00000000-0005-0000-0000-0000791C0000}"/>
    <cellStyle name="Normal 8 2 2 4 4 3 2" xfId="15417" xr:uid="{001CB567-26ED-4C3F-957E-D2020CEE4670}"/>
    <cellStyle name="Normal 8 2 2 4 4 3 3" xfId="23864" xr:uid="{AB73EE39-6E40-47E1-B603-92AE2B1F1387}"/>
    <cellStyle name="Normal 8 2 2 4 4 4" xfId="11200" xr:uid="{4D05C674-D0F0-4287-9E17-8192205A5591}"/>
    <cellStyle name="Normal 8 2 2 4 4 5" xfId="19647" xr:uid="{6B8C1D17-76C0-47E3-B1E0-A5CB4789033A}"/>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C8C5A292-6B1C-47F3-9CFA-EE7128237B0A}"/>
    <cellStyle name="Normal 8 2 2 4 5 2 2 3" xfId="26422" xr:uid="{E4FBC919-A6B8-4E0C-97B3-F8C2E575CC85}"/>
    <cellStyle name="Normal 8 2 2 4 5 2 3" xfId="13758" xr:uid="{EFFA9C49-DDE9-4348-8426-DAF94DDFFE84}"/>
    <cellStyle name="Normal 8 2 2 4 5 2 4" xfId="22205" xr:uid="{A556DFCD-4710-4479-B83B-606FD9B2D656}"/>
    <cellStyle name="Normal 8 2 2 4 5 3" xfId="6504" xr:uid="{00000000-0005-0000-0000-00007D1C0000}"/>
    <cellStyle name="Normal 8 2 2 4 5 3 2" xfId="15830" xr:uid="{278ED42F-67C1-4EBE-9E55-7D72E3BE24D7}"/>
    <cellStyle name="Normal 8 2 2 4 5 3 3" xfId="24277" xr:uid="{3EFB6FB1-0305-4D56-83A9-DF51FC5954AC}"/>
    <cellStyle name="Normal 8 2 2 4 5 4" xfId="11613" xr:uid="{7D822537-CCEF-4F20-A2DC-3654EA152E30}"/>
    <cellStyle name="Normal 8 2 2 4 5 5" xfId="20060" xr:uid="{688BCE7E-12C4-47AE-B330-0E5F099BA5C8}"/>
    <cellStyle name="Normal 8 2 2 4 6" xfId="2634" xr:uid="{00000000-0005-0000-0000-00007E1C0000}"/>
    <cellStyle name="Normal 8 2 2 4 6 2" xfId="6917" xr:uid="{00000000-0005-0000-0000-00007F1C0000}"/>
    <cellStyle name="Normal 8 2 2 4 6 2 2" xfId="16243" xr:uid="{AA68D86F-1E21-41A6-8DBE-BDDA4E3FE1C5}"/>
    <cellStyle name="Normal 8 2 2 4 6 2 3" xfId="24690" xr:uid="{EDBE4604-B81D-4671-996E-4E3FA7074B3A}"/>
    <cellStyle name="Normal 8 2 2 4 6 3" xfId="12026" xr:uid="{3D7B078C-CD9E-4F18-AB1F-AA637EAE94D6}"/>
    <cellStyle name="Normal 8 2 2 4 6 4" xfId="20473" xr:uid="{982D556F-F078-42DA-BA77-DA3FDD6C3295}"/>
    <cellStyle name="Normal 8 2 2 4 7" xfId="4852" xr:uid="{00000000-0005-0000-0000-0000801C0000}"/>
    <cellStyle name="Normal 8 2 2 4 7 2" xfId="14178" xr:uid="{819CCE10-854A-4C19-9545-E13C253188B7}"/>
    <cellStyle name="Normal 8 2 2 4 7 3" xfId="22625" xr:uid="{61B1519E-E16C-4672-9A0A-A2ECC86A1FC0}"/>
    <cellStyle name="Normal 8 2 2 4 8" xfId="8990" xr:uid="{F08D85C9-EB04-4227-BEA0-1B51DDB63DFA}"/>
    <cellStyle name="Normal 8 2 2 4 9" xfId="9961" xr:uid="{C81EAA70-534C-47B3-B482-B1679AC67877}"/>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1DC03D5E-BF8E-417B-AF5A-99B10480C65A}"/>
    <cellStyle name="Normal 8 2 2 5 2 2 3" xfId="25176" xr:uid="{F8AC7CF9-4941-43D4-92C6-0A527BB7DB3C}"/>
    <cellStyle name="Normal 8 2 2 5 2 3" xfId="12512" xr:uid="{A4099A01-B765-4CAB-93F1-F9100F7C04C3}"/>
    <cellStyle name="Normal 8 2 2 5 2 4" xfId="20959" xr:uid="{8D43FA24-FFAA-4EDE-99D7-B18DFEC702D1}"/>
    <cellStyle name="Normal 8 2 2 5 3" xfId="5258" xr:uid="{00000000-0005-0000-0000-0000841C0000}"/>
    <cellStyle name="Normal 8 2 2 5 3 2" xfId="14584" xr:uid="{D5ECB496-796D-4F0F-9035-35F9D7DBABFD}"/>
    <cellStyle name="Normal 8 2 2 5 3 3" xfId="23031" xr:uid="{2D4E9CA7-EE25-4498-A5E0-26C63A1128AA}"/>
    <cellStyle name="Normal 8 2 2 5 4" xfId="9207" xr:uid="{D4CDC4D2-5794-400F-B850-1B259D26C1FE}"/>
    <cellStyle name="Normal 8 2 2 5 5" xfId="10367" xr:uid="{EED43D06-8A76-412B-ACE4-A1D21FF6A711}"/>
    <cellStyle name="Normal 8 2 2 5 6" xfId="18814" xr:uid="{38F9FE0A-376C-41A1-A69E-345BACC7A156}"/>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5CEF9062-FDDB-4E5C-BA78-6B950F1F873F}"/>
    <cellStyle name="Normal 8 2 2 6 2 2 3" xfId="25589" xr:uid="{B8615088-81B4-47E7-870A-D3A316D4263B}"/>
    <cellStyle name="Normal 8 2 2 6 2 3" xfId="12925" xr:uid="{C21E924C-E8F8-48CC-8867-9D9979A1C31C}"/>
    <cellStyle name="Normal 8 2 2 6 2 4" xfId="21372" xr:uid="{C3BE24A9-5F36-44A5-92EB-D19AF9BABF71}"/>
    <cellStyle name="Normal 8 2 2 6 3" xfId="5671" xr:uid="{00000000-0005-0000-0000-0000881C0000}"/>
    <cellStyle name="Normal 8 2 2 6 3 2" xfId="14997" xr:uid="{0296993F-B684-450E-86CB-939B03572DA1}"/>
    <cellStyle name="Normal 8 2 2 6 3 3" xfId="23444" xr:uid="{3AADE497-DDF6-43E8-BD04-D6A277B889A9}"/>
    <cellStyle name="Normal 8 2 2 6 4" xfId="10780" xr:uid="{5968DD6B-34D4-40AE-8147-CCC854A9740B}"/>
    <cellStyle name="Normal 8 2 2 6 5" xfId="19227" xr:uid="{EF3932F4-697F-475C-A053-778D3C0C3199}"/>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6D7C9F89-6E98-4AAE-B74E-74C0399056C3}"/>
    <cellStyle name="Normal 8 2 2 7 2 2 3" xfId="26002" xr:uid="{A1547E93-B3BF-445A-A7F7-692530CA8AA5}"/>
    <cellStyle name="Normal 8 2 2 7 2 3" xfId="13338" xr:uid="{667914DA-CB60-4A1E-9B37-90D08F437308}"/>
    <cellStyle name="Normal 8 2 2 7 2 4" xfId="21785" xr:uid="{8DF46AF1-EC5E-4DF0-924A-BB8BFA31DC27}"/>
    <cellStyle name="Normal 8 2 2 7 3" xfId="6084" xr:uid="{00000000-0005-0000-0000-00008C1C0000}"/>
    <cellStyle name="Normal 8 2 2 7 3 2" xfId="15410" xr:uid="{C882A503-ADFC-4DF6-AF16-7D590AE965E3}"/>
    <cellStyle name="Normal 8 2 2 7 3 3" xfId="23857" xr:uid="{C3203E35-41DB-4BC1-80BC-0DC9095468C6}"/>
    <cellStyle name="Normal 8 2 2 7 4" xfId="11193" xr:uid="{95F320A6-4539-4D0D-824F-0C4881599814}"/>
    <cellStyle name="Normal 8 2 2 7 5" xfId="19640" xr:uid="{5F8E2C78-F3BF-49B2-BE9E-70C220489875}"/>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96FC06BD-6C1A-4FBF-8C76-8953A2418EAB}"/>
    <cellStyle name="Normal 8 2 2 8 2 2 3" xfId="26415" xr:uid="{31DA3C25-2D9B-4000-BA51-08B01E0558AC}"/>
    <cellStyle name="Normal 8 2 2 8 2 3" xfId="13751" xr:uid="{C209712B-9CB7-4F9D-8F48-732ECCE821A8}"/>
    <cellStyle name="Normal 8 2 2 8 2 4" xfId="22198" xr:uid="{E81DFA7D-C57A-4E88-A7E3-C9D3136A7A0B}"/>
    <cellStyle name="Normal 8 2 2 8 3" xfId="6497" xr:uid="{00000000-0005-0000-0000-0000901C0000}"/>
    <cellStyle name="Normal 8 2 2 8 3 2" xfId="15823" xr:uid="{368D6976-6936-40D4-908C-67EE39E0AC1A}"/>
    <cellStyle name="Normal 8 2 2 8 3 3" xfId="24270" xr:uid="{0F92778E-B32B-4869-B978-D3F3A2713C1A}"/>
    <cellStyle name="Normal 8 2 2 8 4" xfId="11606" xr:uid="{1882A373-BF8B-490B-8C96-A8823092161D}"/>
    <cellStyle name="Normal 8 2 2 8 5" xfId="20053" xr:uid="{B496F4C1-347F-44BF-A562-6951DABE524A}"/>
    <cellStyle name="Normal 8 2 2 9" xfId="2627" xr:uid="{00000000-0005-0000-0000-0000911C0000}"/>
    <cellStyle name="Normal 8 2 2 9 2" xfId="6910" xr:uid="{00000000-0005-0000-0000-0000921C0000}"/>
    <cellStyle name="Normal 8 2 2 9 2 2" xfId="16236" xr:uid="{58C0AEFC-1564-4D2A-9989-4D901A05060F}"/>
    <cellStyle name="Normal 8 2 2 9 2 3" xfId="24683" xr:uid="{891BF2BA-B297-4916-BA05-D949C94003FE}"/>
    <cellStyle name="Normal 8 2 2 9 3" xfId="12019" xr:uid="{A6994FBB-0B66-400E-A1C0-50D4B0368EDD}"/>
    <cellStyle name="Normal 8 2 2 9 4" xfId="20466" xr:uid="{D71A43F7-051E-4735-87C0-3837DC8734F5}"/>
    <cellStyle name="Normal 8 2 3" xfId="488" xr:uid="{00000000-0005-0000-0000-0000931C0000}"/>
    <cellStyle name="Normal 8 2 3 10" xfId="8835" xr:uid="{2F0FB8B3-D08B-41EB-93AB-2D83A1BD6036}"/>
    <cellStyle name="Normal 8 2 3 11" xfId="9962" xr:uid="{C11DCED2-7134-425E-A166-194F526BE782}"/>
    <cellStyle name="Normal 8 2 3 12" xfId="18409" xr:uid="{1AF5086B-4139-42E4-8344-45CB81481C0E}"/>
    <cellStyle name="Normal 8 2 3 2" xfId="489" xr:uid="{00000000-0005-0000-0000-0000941C0000}"/>
    <cellStyle name="Normal 8 2 3 2 10" xfId="9963" xr:uid="{6722A43F-71AE-44FA-82AE-E012ACF961F6}"/>
    <cellStyle name="Normal 8 2 3 2 11" xfId="18410" xr:uid="{3781D2FD-E144-438A-BB57-E98F16D2299A}"/>
    <cellStyle name="Normal 8 2 3 2 2" xfId="490" xr:uid="{00000000-0005-0000-0000-0000951C0000}"/>
    <cellStyle name="Normal 8 2 3 2 2 10" xfId="18411" xr:uid="{73130869-81B2-4271-8C55-D072ADF81C09}"/>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B55ABBD2-0368-4C96-BC90-208F160C1C2D}"/>
    <cellStyle name="Normal 8 2 3 2 2 2 2 2 3" xfId="25186" xr:uid="{96CD7D59-B2F2-4693-BC91-DC9E7BFEB425}"/>
    <cellStyle name="Normal 8 2 3 2 2 2 2 3" xfId="12522" xr:uid="{DA3218AC-E0EE-491B-9DC4-993A356E49F1}"/>
    <cellStyle name="Normal 8 2 3 2 2 2 2 4" xfId="20969" xr:uid="{F709595C-8960-4D1E-8197-BBD158A8F249}"/>
    <cellStyle name="Normal 8 2 3 2 2 2 3" xfId="5268" xr:uid="{00000000-0005-0000-0000-0000991C0000}"/>
    <cellStyle name="Normal 8 2 3 2 2 2 3 2" xfId="14594" xr:uid="{8242ED62-4896-4883-B2BF-2180C85634B6}"/>
    <cellStyle name="Normal 8 2 3 2 2 2 3 3" xfId="23041" xr:uid="{4CA472ED-A044-4B05-8E8B-017BBC6F745D}"/>
    <cellStyle name="Normal 8 2 3 2 2 2 4" xfId="9570" xr:uid="{BA9732E0-D9E4-47DB-882D-D871A821FA55}"/>
    <cellStyle name="Normal 8 2 3 2 2 2 5" xfId="10377" xr:uid="{B1FA85ED-0E77-4271-BD5C-DC6A6D20CEEB}"/>
    <cellStyle name="Normal 8 2 3 2 2 2 6" xfId="18824" xr:uid="{4281586B-950C-45FE-8260-0444E46D8B3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E1024172-F2FF-4E10-A00F-543F90AC090E}"/>
    <cellStyle name="Normal 8 2 3 2 2 3 2 2 3" xfId="25599" xr:uid="{6BAC512E-41E3-4CFD-923F-92C72E3BE806}"/>
    <cellStyle name="Normal 8 2 3 2 2 3 2 3" xfId="12935" xr:uid="{84F30D78-9779-49C6-9E0D-5D0FE8180210}"/>
    <cellStyle name="Normal 8 2 3 2 2 3 2 4" xfId="21382" xr:uid="{0374765A-3C2E-4E9F-AE45-077756DF8885}"/>
    <cellStyle name="Normal 8 2 3 2 2 3 3" xfId="5681" xr:uid="{00000000-0005-0000-0000-00009D1C0000}"/>
    <cellStyle name="Normal 8 2 3 2 2 3 3 2" xfId="15007" xr:uid="{9D0834CA-F4B9-461B-A801-D20106D3F400}"/>
    <cellStyle name="Normal 8 2 3 2 2 3 3 3" xfId="23454" xr:uid="{C7857B56-8BE6-4FD6-9E24-5FB343193537}"/>
    <cellStyle name="Normal 8 2 3 2 2 3 4" xfId="10790" xr:uid="{FE0777DD-D380-42B5-862E-90464E5E3622}"/>
    <cellStyle name="Normal 8 2 3 2 2 3 5" xfId="19237" xr:uid="{4B7002BF-70D7-4168-ADD3-2F15123C0417}"/>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1CF158E2-1B3E-4702-A627-E2D846218D44}"/>
    <cellStyle name="Normal 8 2 3 2 2 4 2 2 3" xfId="26012" xr:uid="{F1B2D9A5-5D3A-4974-97C0-78C61C0C059E}"/>
    <cellStyle name="Normal 8 2 3 2 2 4 2 3" xfId="13348" xr:uid="{5DA4A467-4D53-4A39-86C7-012A256E266E}"/>
    <cellStyle name="Normal 8 2 3 2 2 4 2 4" xfId="21795" xr:uid="{8A367918-3F74-4679-ADE2-0FB87B8B806F}"/>
    <cellStyle name="Normal 8 2 3 2 2 4 3" xfId="6094" xr:uid="{00000000-0005-0000-0000-0000A11C0000}"/>
    <cellStyle name="Normal 8 2 3 2 2 4 3 2" xfId="15420" xr:uid="{661B97FE-ED7D-40B9-A4A1-F60410E09041}"/>
    <cellStyle name="Normal 8 2 3 2 2 4 3 3" xfId="23867" xr:uid="{6E7F37D5-A78C-4942-9A46-B21EBBA3D198}"/>
    <cellStyle name="Normal 8 2 3 2 2 4 4" xfId="11203" xr:uid="{05B6FAEC-8049-4B61-8344-6FA78270A418}"/>
    <cellStyle name="Normal 8 2 3 2 2 4 5" xfId="19650" xr:uid="{240DEB00-3B67-4C27-8B94-AE006264FB74}"/>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9145F4F9-F469-4741-9105-229D99879F47}"/>
    <cellStyle name="Normal 8 2 3 2 2 5 2 2 3" xfId="26425" xr:uid="{CD0D507F-BADF-4E38-8E9E-BCC0C2CEDFFB}"/>
    <cellStyle name="Normal 8 2 3 2 2 5 2 3" xfId="13761" xr:uid="{1AE64004-2B41-430D-9939-E9C10168B466}"/>
    <cellStyle name="Normal 8 2 3 2 2 5 2 4" xfId="22208" xr:uid="{4EB1FD7D-6237-48B7-A905-041D14FBE58E}"/>
    <cellStyle name="Normal 8 2 3 2 2 5 3" xfId="6507" xr:uid="{00000000-0005-0000-0000-0000A51C0000}"/>
    <cellStyle name="Normal 8 2 3 2 2 5 3 2" xfId="15833" xr:uid="{745EC19B-A1A5-45D2-BE11-4E2528A91398}"/>
    <cellStyle name="Normal 8 2 3 2 2 5 3 3" xfId="24280" xr:uid="{C1CA8713-FCBB-4CA1-8E4B-4EF77442E02A}"/>
    <cellStyle name="Normal 8 2 3 2 2 5 4" xfId="11616" xr:uid="{1CC8CE2C-ACD0-439C-8652-2682C2FCB066}"/>
    <cellStyle name="Normal 8 2 3 2 2 5 5" xfId="20063" xr:uid="{1B379997-6D5A-40E8-A73E-29752DB0BCB1}"/>
    <cellStyle name="Normal 8 2 3 2 2 6" xfId="2637" xr:uid="{00000000-0005-0000-0000-0000A61C0000}"/>
    <cellStyle name="Normal 8 2 3 2 2 6 2" xfId="6920" xr:uid="{00000000-0005-0000-0000-0000A71C0000}"/>
    <cellStyle name="Normal 8 2 3 2 2 6 2 2" xfId="16246" xr:uid="{27665B1D-F9BB-493A-AF9F-5C5BCB0C075C}"/>
    <cellStyle name="Normal 8 2 3 2 2 6 2 3" xfId="24693" xr:uid="{4AF7EC23-B817-42A3-96BF-04E683CA3F6F}"/>
    <cellStyle name="Normal 8 2 3 2 2 6 3" xfId="12029" xr:uid="{9F9E4429-1BA5-4CCA-979B-F8212892CE65}"/>
    <cellStyle name="Normal 8 2 3 2 2 6 4" xfId="20476" xr:uid="{585E2B87-A7CA-4A32-B477-FAE39CADEBDB}"/>
    <cellStyle name="Normal 8 2 3 2 2 7" xfId="4855" xr:uid="{00000000-0005-0000-0000-0000A81C0000}"/>
    <cellStyle name="Normal 8 2 3 2 2 7 2" xfId="14181" xr:uid="{923A6CC9-58AF-4343-8DC4-61C969486E67}"/>
    <cellStyle name="Normal 8 2 3 2 2 7 3" xfId="22628" xr:uid="{39FCE0A9-9984-44A6-A28B-B0B5F815D6ED}"/>
    <cellStyle name="Normal 8 2 3 2 2 8" xfId="9145" xr:uid="{C71E6005-187D-4837-92B4-619AF06B3A3B}"/>
    <cellStyle name="Normal 8 2 3 2 2 9" xfId="9964" xr:uid="{5B8FB0B0-CD9B-4D91-923F-06B79CE7181E}"/>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35D49E8B-3BD3-4499-8DEB-5EBD807F9376}"/>
    <cellStyle name="Normal 8 2 3 2 3 2 2 3" xfId="25185" xr:uid="{5BF83308-5C73-4E14-AE8C-7801C43AF471}"/>
    <cellStyle name="Normal 8 2 3 2 3 2 3" xfId="12521" xr:uid="{3B2B69F4-E3FE-43A2-8D16-10A6E4707335}"/>
    <cellStyle name="Normal 8 2 3 2 3 2 4" xfId="20968" xr:uid="{81CD1644-5F3A-4D97-81D8-9875D1F76A16}"/>
    <cellStyle name="Normal 8 2 3 2 3 3" xfId="5267" xr:uid="{00000000-0005-0000-0000-0000AC1C0000}"/>
    <cellStyle name="Normal 8 2 3 2 3 3 2" xfId="14593" xr:uid="{CE8CDF4C-3F9E-42F2-8598-D36E9848531A}"/>
    <cellStyle name="Normal 8 2 3 2 3 3 3" xfId="23040" xr:uid="{842821B5-9AEA-4032-A64A-424997D3AF85}"/>
    <cellStyle name="Normal 8 2 3 2 3 4" xfId="9363" xr:uid="{C94C6C98-A8BC-4AC9-B084-0D2219E89AA8}"/>
    <cellStyle name="Normal 8 2 3 2 3 5" xfId="10376" xr:uid="{3FF597CD-7332-4C1C-9479-163E0AF06DD6}"/>
    <cellStyle name="Normal 8 2 3 2 3 6" xfId="18823" xr:uid="{013F09F8-A87A-46DE-84C4-97EA84ADAE7D}"/>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5E63CFBB-ABEA-431D-A7E7-E1A8AF6C8FB3}"/>
    <cellStyle name="Normal 8 2 3 2 4 2 2 3" xfId="25598" xr:uid="{0C54B063-1018-4110-A69D-7C2198CF2C1F}"/>
    <cellStyle name="Normal 8 2 3 2 4 2 3" xfId="12934" xr:uid="{34B15FAF-4374-4238-9BB3-38CC8C2FCB4F}"/>
    <cellStyle name="Normal 8 2 3 2 4 2 4" xfId="21381" xr:uid="{E61ED5E9-E181-4A65-9F25-29D6B215EFBC}"/>
    <cellStyle name="Normal 8 2 3 2 4 3" xfId="5680" xr:uid="{00000000-0005-0000-0000-0000B01C0000}"/>
    <cellStyle name="Normal 8 2 3 2 4 3 2" xfId="15006" xr:uid="{3B40A3A7-AC28-4373-A9D4-B44A473711DE}"/>
    <cellStyle name="Normal 8 2 3 2 4 3 3" xfId="23453" xr:uid="{59AF41C6-700E-40E2-A49F-D380D84DA893}"/>
    <cellStyle name="Normal 8 2 3 2 4 4" xfId="10789" xr:uid="{A45C844B-CE61-411F-8B9B-DBD73313657F}"/>
    <cellStyle name="Normal 8 2 3 2 4 5" xfId="19236" xr:uid="{6A186318-A7A1-474A-9784-75AC82524F17}"/>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8E8FAD14-12AD-4F89-9876-D33D99B9A00D}"/>
    <cellStyle name="Normal 8 2 3 2 5 2 2 3" xfId="26011" xr:uid="{EA093C9E-D940-418B-9C29-CA4C00BA1A10}"/>
    <cellStyle name="Normal 8 2 3 2 5 2 3" xfId="13347" xr:uid="{6E5AE149-9D8C-4972-8674-0414862219E3}"/>
    <cellStyle name="Normal 8 2 3 2 5 2 4" xfId="21794" xr:uid="{0D1E0FD3-4D6F-40D4-A7FE-EC788C18A4FB}"/>
    <cellStyle name="Normal 8 2 3 2 5 3" xfId="6093" xr:uid="{00000000-0005-0000-0000-0000B41C0000}"/>
    <cellStyle name="Normal 8 2 3 2 5 3 2" xfId="15419" xr:uid="{E15F5F0D-DCEF-4C07-992E-BF169E4C171F}"/>
    <cellStyle name="Normal 8 2 3 2 5 3 3" xfId="23866" xr:uid="{5D3A4F13-A045-456A-BAF2-3EA0DE57FCE8}"/>
    <cellStyle name="Normal 8 2 3 2 5 4" xfId="11202" xr:uid="{4B6680F8-77B2-407B-93A6-CD0494CD4931}"/>
    <cellStyle name="Normal 8 2 3 2 5 5" xfId="19649" xr:uid="{2550E5E9-04C5-4BDF-BA9D-10CEB909BBFE}"/>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F94666B2-4201-4BA9-AD46-D22291E010A5}"/>
    <cellStyle name="Normal 8 2 3 2 6 2 2 3" xfId="26424" xr:uid="{30539C82-5A48-495E-8C6B-804C1B12DD77}"/>
    <cellStyle name="Normal 8 2 3 2 6 2 3" xfId="13760" xr:uid="{B319AF64-E185-4F6C-B744-CBB3A0F10B12}"/>
    <cellStyle name="Normal 8 2 3 2 6 2 4" xfId="22207" xr:uid="{5677B35E-1674-4A8E-A613-6110E4A8E19E}"/>
    <cellStyle name="Normal 8 2 3 2 6 3" xfId="6506" xr:uid="{00000000-0005-0000-0000-0000B81C0000}"/>
    <cellStyle name="Normal 8 2 3 2 6 3 2" xfId="15832" xr:uid="{22C3E188-72F1-46C6-B2E1-38C77BC263C4}"/>
    <cellStyle name="Normal 8 2 3 2 6 3 3" xfId="24279" xr:uid="{130AD293-C827-467B-973F-F25A8594A2EA}"/>
    <cellStyle name="Normal 8 2 3 2 6 4" xfId="11615" xr:uid="{8B500C90-CF26-402A-B00E-A2B397C5F179}"/>
    <cellStyle name="Normal 8 2 3 2 6 5" xfId="20062" xr:uid="{D188883D-E69E-42E0-AFD6-0DD2E7104DAD}"/>
    <cellStyle name="Normal 8 2 3 2 7" xfId="2636" xr:uid="{00000000-0005-0000-0000-0000B91C0000}"/>
    <cellStyle name="Normal 8 2 3 2 7 2" xfId="6919" xr:uid="{00000000-0005-0000-0000-0000BA1C0000}"/>
    <cellStyle name="Normal 8 2 3 2 7 2 2" xfId="16245" xr:uid="{9A224178-2DDE-43A2-9B88-85C3EC469DBD}"/>
    <cellStyle name="Normal 8 2 3 2 7 2 3" xfId="24692" xr:uid="{51AD307F-B63C-4216-AA09-A8C334A36ECE}"/>
    <cellStyle name="Normal 8 2 3 2 7 3" xfId="12028" xr:uid="{F969A50A-6362-4344-9C0A-70647F43BA45}"/>
    <cellStyle name="Normal 8 2 3 2 7 4" xfId="20475" xr:uid="{B0B887DC-9F0A-4495-9F92-205288B569DC}"/>
    <cellStyle name="Normal 8 2 3 2 8" xfId="4854" xr:uid="{00000000-0005-0000-0000-0000BB1C0000}"/>
    <cellStyle name="Normal 8 2 3 2 8 2" xfId="14180" xr:uid="{CA3FB1E3-4611-47B0-91C9-28BEF3DC1A3D}"/>
    <cellStyle name="Normal 8 2 3 2 8 3" xfId="22627" xr:uid="{74C8BA5E-BA2F-4E9C-96BF-BABD856884CC}"/>
    <cellStyle name="Normal 8 2 3 2 9" xfId="8938" xr:uid="{1EAF77CE-4DC3-40DC-AA9D-31320D478EE9}"/>
    <cellStyle name="Normal 8 2 3 3" xfId="491" xr:uid="{00000000-0005-0000-0000-0000BC1C0000}"/>
    <cellStyle name="Normal 8 2 3 3 10" xfId="18412" xr:uid="{85C7240F-BE29-4010-BA30-55C903EA6DEA}"/>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60910DB5-98F5-478C-94ED-566515D337B6}"/>
    <cellStyle name="Normal 8 2 3 3 2 2 2 3" xfId="25187" xr:uid="{21B2CCEE-656A-4284-9C76-C44FFC9D3ED3}"/>
    <cellStyle name="Normal 8 2 3 3 2 2 3" xfId="12523" xr:uid="{4840AC3D-D98F-4108-BB25-211985F9B752}"/>
    <cellStyle name="Normal 8 2 3 3 2 2 4" xfId="20970" xr:uid="{4D750350-FCC0-4E27-B45C-B8E424B1D479}"/>
    <cellStyle name="Normal 8 2 3 3 2 3" xfId="5269" xr:uid="{00000000-0005-0000-0000-0000C01C0000}"/>
    <cellStyle name="Normal 8 2 3 3 2 3 2" xfId="14595" xr:uid="{EFE17CDA-70E4-4DFC-AAA6-F3AFE8CC7C3C}"/>
    <cellStyle name="Normal 8 2 3 3 2 3 3" xfId="23042" xr:uid="{D53A8159-F714-4D5A-9354-1D5B0F181009}"/>
    <cellStyle name="Normal 8 2 3 3 2 4" xfId="9467" xr:uid="{C16001D7-8508-4511-808F-E990F8EA0FE3}"/>
    <cellStyle name="Normal 8 2 3 3 2 5" xfId="10378" xr:uid="{FD8F9F9C-E887-45D5-9FAD-121214F2DA80}"/>
    <cellStyle name="Normal 8 2 3 3 2 6" xfId="18825" xr:uid="{2204181C-FA3A-480E-81B7-F039BCC28AE4}"/>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D9D4C954-6B68-43D6-B55F-53A3950BEBC1}"/>
    <cellStyle name="Normal 8 2 3 3 3 2 2 3" xfId="25600" xr:uid="{365D9C72-28B5-410A-9952-37A23F2563AB}"/>
    <cellStyle name="Normal 8 2 3 3 3 2 3" xfId="12936" xr:uid="{02E174E8-1072-4A9C-8D0B-70F2BBF575FB}"/>
    <cellStyle name="Normal 8 2 3 3 3 2 4" xfId="21383" xr:uid="{0CB22DA0-BCE2-4729-82D8-619417A5FD8D}"/>
    <cellStyle name="Normal 8 2 3 3 3 3" xfId="5682" xr:uid="{00000000-0005-0000-0000-0000C41C0000}"/>
    <cellStyle name="Normal 8 2 3 3 3 3 2" xfId="15008" xr:uid="{00F61511-637A-4B4C-AC94-10B3EF9BEB3B}"/>
    <cellStyle name="Normal 8 2 3 3 3 3 3" xfId="23455" xr:uid="{88BCAC69-C20B-4D71-96F1-4AC44221A802}"/>
    <cellStyle name="Normal 8 2 3 3 3 4" xfId="10791" xr:uid="{882101B9-DA5E-45FC-8D2E-0295188E34F6}"/>
    <cellStyle name="Normal 8 2 3 3 3 5" xfId="19238" xr:uid="{531FD364-CD00-4810-8215-E1086EA5FAB1}"/>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E040A492-AB77-4520-8E4E-274D7AD2A5BC}"/>
    <cellStyle name="Normal 8 2 3 3 4 2 2 3" xfId="26013" xr:uid="{209AB5B4-FD26-4F34-856E-28BE88C77F99}"/>
    <cellStyle name="Normal 8 2 3 3 4 2 3" xfId="13349" xr:uid="{FA3259CD-17BD-489F-B76B-0B2475792A60}"/>
    <cellStyle name="Normal 8 2 3 3 4 2 4" xfId="21796" xr:uid="{B6C2E911-9866-4C53-B418-5F9805AB8F2F}"/>
    <cellStyle name="Normal 8 2 3 3 4 3" xfId="6095" xr:uid="{00000000-0005-0000-0000-0000C81C0000}"/>
    <cellStyle name="Normal 8 2 3 3 4 3 2" xfId="15421" xr:uid="{AB3C9C4C-0ED4-4E67-B3C7-B8EEDDDA4A5B}"/>
    <cellStyle name="Normal 8 2 3 3 4 3 3" xfId="23868" xr:uid="{AAFFFBD2-3886-45D9-BD74-59AA0554E081}"/>
    <cellStyle name="Normal 8 2 3 3 4 4" xfId="11204" xr:uid="{668D5541-46C0-4A4E-AD86-291AACED6F68}"/>
    <cellStyle name="Normal 8 2 3 3 4 5" xfId="19651" xr:uid="{734B565A-18A0-4FAB-81A9-2743B23B7268}"/>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13902D34-088C-42E7-B02A-A24E2034C6F8}"/>
    <cellStyle name="Normal 8 2 3 3 5 2 2 3" xfId="26426" xr:uid="{1F800401-AB72-4B8F-A96D-EA0C25523149}"/>
    <cellStyle name="Normal 8 2 3 3 5 2 3" xfId="13762" xr:uid="{70C708CE-D703-4085-A6EF-4984DA196C5B}"/>
    <cellStyle name="Normal 8 2 3 3 5 2 4" xfId="22209" xr:uid="{8F88BFFB-F46D-4191-86AF-A463FB5E218D}"/>
    <cellStyle name="Normal 8 2 3 3 5 3" xfId="6508" xr:uid="{00000000-0005-0000-0000-0000CC1C0000}"/>
    <cellStyle name="Normal 8 2 3 3 5 3 2" xfId="15834" xr:uid="{33230A0C-C772-4BCE-BE5C-36238C20A6E8}"/>
    <cellStyle name="Normal 8 2 3 3 5 3 3" xfId="24281" xr:uid="{09CF7EA9-DD43-4D44-8F25-9FDB700FDBAD}"/>
    <cellStyle name="Normal 8 2 3 3 5 4" xfId="11617" xr:uid="{664FB8C8-58F0-4844-97F0-644DF8AC44E2}"/>
    <cellStyle name="Normal 8 2 3 3 5 5" xfId="20064" xr:uid="{60C73D9E-9AE9-488D-91B1-B43B147CE35A}"/>
    <cellStyle name="Normal 8 2 3 3 6" xfId="2638" xr:uid="{00000000-0005-0000-0000-0000CD1C0000}"/>
    <cellStyle name="Normal 8 2 3 3 6 2" xfId="6921" xr:uid="{00000000-0005-0000-0000-0000CE1C0000}"/>
    <cellStyle name="Normal 8 2 3 3 6 2 2" xfId="16247" xr:uid="{AAD2FD16-E5CD-41F1-9327-8AA1D31AB52C}"/>
    <cellStyle name="Normal 8 2 3 3 6 2 3" xfId="24694" xr:uid="{06FC4509-9263-436F-BCCF-64B9E51C25A2}"/>
    <cellStyle name="Normal 8 2 3 3 6 3" xfId="12030" xr:uid="{CA922719-7FB6-4CB8-AFF1-F94D044339AD}"/>
    <cellStyle name="Normal 8 2 3 3 6 4" xfId="20477" xr:uid="{BE6DE2C5-898C-4A88-8C36-16C9C071DC14}"/>
    <cellStyle name="Normal 8 2 3 3 7" xfId="4856" xr:uid="{00000000-0005-0000-0000-0000CF1C0000}"/>
    <cellStyle name="Normal 8 2 3 3 7 2" xfId="14182" xr:uid="{21F8B649-6E79-4F7D-A6F8-C5E19F78C304}"/>
    <cellStyle name="Normal 8 2 3 3 7 3" xfId="22629" xr:uid="{466A3D69-0E41-482F-A491-5859569D32CA}"/>
    <cellStyle name="Normal 8 2 3 3 8" xfId="9042" xr:uid="{D820ED39-BAB1-48C1-A68D-2017E247E432}"/>
    <cellStyle name="Normal 8 2 3 3 9" xfId="9965" xr:uid="{0E47C259-54F6-4A91-93CA-D5A45DC1A77D}"/>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79677582-87AF-4B7A-AC3C-C75E44338793}"/>
    <cellStyle name="Normal 8 2 3 4 2 2 3" xfId="25184" xr:uid="{DB2FFC19-1156-49CA-9A0C-78FEC5564E4A}"/>
    <cellStyle name="Normal 8 2 3 4 2 3" xfId="12520" xr:uid="{1EC2BE9C-D49D-4CA7-936E-F4662D89D2E4}"/>
    <cellStyle name="Normal 8 2 3 4 2 4" xfId="20967" xr:uid="{D7B35E83-E200-46A6-B2EA-1F53CD1568EB}"/>
    <cellStyle name="Normal 8 2 3 4 3" xfId="5266" xr:uid="{00000000-0005-0000-0000-0000D31C0000}"/>
    <cellStyle name="Normal 8 2 3 4 3 2" xfId="14592" xr:uid="{54F6F620-5EF6-4DFE-9362-BFEF2FFF7FD4}"/>
    <cellStyle name="Normal 8 2 3 4 3 3" xfId="23039" xr:uid="{1ABCCA11-42A0-42A0-998D-687E7716B8D8}"/>
    <cellStyle name="Normal 8 2 3 4 4" xfId="9260" xr:uid="{70FF5A16-C89A-42B7-A603-E23A7C2F443C}"/>
    <cellStyle name="Normal 8 2 3 4 5" xfId="10375" xr:uid="{D6E9355E-4702-4C86-9851-12F77A181EE9}"/>
    <cellStyle name="Normal 8 2 3 4 6" xfId="18822" xr:uid="{B4BB265A-2733-43D0-A106-0FA2E07CC1C1}"/>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4EC1F46D-B317-465F-B178-273FD5156F19}"/>
    <cellStyle name="Normal 8 2 3 5 2 2 3" xfId="25597" xr:uid="{41E85371-AB22-46AD-AC98-CBCC95941D83}"/>
    <cellStyle name="Normal 8 2 3 5 2 3" xfId="12933" xr:uid="{9750E795-408E-4946-A92A-F99B7FF17F8E}"/>
    <cellStyle name="Normal 8 2 3 5 2 4" xfId="21380" xr:uid="{DEEC3C67-3C63-46A7-A70F-062BCBE7D108}"/>
    <cellStyle name="Normal 8 2 3 5 3" xfId="5679" xr:uid="{00000000-0005-0000-0000-0000D71C0000}"/>
    <cellStyle name="Normal 8 2 3 5 3 2" xfId="15005" xr:uid="{C9545F87-0597-44B2-9B72-97B878E06549}"/>
    <cellStyle name="Normal 8 2 3 5 3 3" xfId="23452" xr:uid="{7394F623-B92C-40FF-902C-A85CFD63D86F}"/>
    <cellStyle name="Normal 8 2 3 5 4" xfId="10788" xr:uid="{C2C44CF1-9B4D-4DA2-8005-54B339B16BFA}"/>
    <cellStyle name="Normal 8 2 3 5 5" xfId="19235" xr:uid="{D2A767D5-8D17-4B4C-B011-3568EA5DECC4}"/>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BBE21EB9-3AEB-43C3-A519-CE6CD1EB04F7}"/>
    <cellStyle name="Normal 8 2 3 6 2 2 3" xfId="26010" xr:uid="{54653552-BFA2-4675-A2B8-D2A3C7FD3054}"/>
    <cellStyle name="Normal 8 2 3 6 2 3" xfId="13346" xr:uid="{48ECEBFB-1D60-42C2-9D6E-8230A04DACF2}"/>
    <cellStyle name="Normal 8 2 3 6 2 4" xfId="21793" xr:uid="{61429CF4-9D10-487A-8BD0-5A45AA2B0947}"/>
    <cellStyle name="Normal 8 2 3 6 3" xfId="6092" xr:uid="{00000000-0005-0000-0000-0000DB1C0000}"/>
    <cellStyle name="Normal 8 2 3 6 3 2" xfId="15418" xr:uid="{E91CBD6F-186B-4B5F-B6F5-6DF78B8ECAB2}"/>
    <cellStyle name="Normal 8 2 3 6 3 3" xfId="23865" xr:uid="{501A7D28-87B7-49F3-8331-BCD1264C5AB9}"/>
    <cellStyle name="Normal 8 2 3 6 4" xfId="11201" xr:uid="{975EAAAC-EC1D-45EF-B7EF-E65AD0D5433F}"/>
    <cellStyle name="Normal 8 2 3 6 5" xfId="19648" xr:uid="{503FD60F-F342-4F8C-8FC1-52596E644075}"/>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578421B4-F702-4D09-B0E2-EE1B11933B68}"/>
    <cellStyle name="Normal 8 2 3 7 2 2 3" xfId="26423" xr:uid="{D011C40F-704C-4240-A6A5-0497DADF74C0}"/>
    <cellStyle name="Normal 8 2 3 7 2 3" xfId="13759" xr:uid="{AFF766C7-F165-420B-9770-79A57BAE76F4}"/>
    <cellStyle name="Normal 8 2 3 7 2 4" xfId="22206" xr:uid="{55E0783F-E528-4CFB-83F4-E85C7037C9F7}"/>
    <cellStyle name="Normal 8 2 3 7 3" xfId="6505" xr:uid="{00000000-0005-0000-0000-0000DF1C0000}"/>
    <cellStyle name="Normal 8 2 3 7 3 2" xfId="15831" xr:uid="{4575C69C-0FA9-405F-BB76-DE0472BE5C76}"/>
    <cellStyle name="Normal 8 2 3 7 3 3" xfId="24278" xr:uid="{FD803659-18E2-4766-A80E-56F3E6B0B835}"/>
    <cellStyle name="Normal 8 2 3 7 4" xfId="11614" xr:uid="{EF2315BD-0B89-4E21-B285-DC70120D14EE}"/>
    <cellStyle name="Normal 8 2 3 7 5" xfId="20061" xr:uid="{5C426DD8-EB6D-46ED-8127-42136317A1E0}"/>
    <cellStyle name="Normal 8 2 3 8" xfId="2635" xr:uid="{00000000-0005-0000-0000-0000E01C0000}"/>
    <cellStyle name="Normal 8 2 3 8 2" xfId="6918" xr:uid="{00000000-0005-0000-0000-0000E11C0000}"/>
    <cellStyle name="Normal 8 2 3 8 2 2" xfId="16244" xr:uid="{82A3A3BB-76E5-4E22-81AD-CD6CC90B6E83}"/>
    <cellStyle name="Normal 8 2 3 8 2 3" xfId="24691" xr:uid="{45F73C40-EA50-4B46-A2DE-CC49653AC4EA}"/>
    <cellStyle name="Normal 8 2 3 8 3" xfId="12027" xr:uid="{6391E47D-45BF-46BE-AF82-A83718966309}"/>
    <cellStyle name="Normal 8 2 3 8 4" xfId="20474" xr:uid="{B40E4F94-9275-4CA1-B7CB-2DE062F5BD6B}"/>
    <cellStyle name="Normal 8 2 3 9" xfId="4853" xr:uid="{00000000-0005-0000-0000-0000E21C0000}"/>
    <cellStyle name="Normal 8 2 3 9 2" xfId="14179" xr:uid="{4D1DF86D-BB11-4278-AE78-C1ACA27D1BEA}"/>
    <cellStyle name="Normal 8 2 3 9 3" xfId="22626" xr:uid="{E1E4BF96-5305-42B4-B5DC-249E0835A9BC}"/>
    <cellStyle name="Normal 8 2 4" xfId="492" xr:uid="{00000000-0005-0000-0000-0000E31C0000}"/>
    <cellStyle name="Normal 8 2 4 10" xfId="9966" xr:uid="{A4D086C7-7638-4F6A-BE8F-3CA22576AFCB}"/>
    <cellStyle name="Normal 8 2 4 11" xfId="18413" xr:uid="{393198C4-B1E1-4BE0-9C72-1D5119CA19F9}"/>
    <cellStyle name="Normal 8 2 4 2" xfId="493" xr:uid="{00000000-0005-0000-0000-0000E41C0000}"/>
    <cellStyle name="Normal 8 2 4 2 10" xfId="18414" xr:uid="{E4753687-68A4-4B97-8362-74E27197FCFC}"/>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62249D79-7938-46A3-9764-B14AAF8DD1E2}"/>
    <cellStyle name="Normal 8 2 4 2 2 2 2 3" xfId="25189" xr:uid="{51ECA9A7-DA24-4FA2-8134-1B1FEA8272C3}"/>
    <cellStyle name="Normal 8 2 4 2 2 2 3" xfId="12525" xr:uid="{B81DA514-CF66-4FAE-9F71-D58640044EC9}"/>
    <cellStyle name="Normal 8 2 4 2 2 2 4" xfId="20972" xr:uid="{AC6516F3-65CB-457A-B1C8-57655FC200B3}"/>
    <cellStyle name="Normal 8 2 4 2 2 3" xfId="5271" xr:uid="{00000000-0005-0000-0000-0000E81C0000}"/>
    <cellStyle name="Normal 8 2 4 2 2 3 2" xfId="14597" xr:uid="{345549FA-DC0A-4A39-9734-6C3E2BE90AF7}"/>
    <cellStyle name="Normal 8 2 4 2 2 3 3" xfId="23044" xr:uid="{C032B0EE-7333-4E34-A8D0-5B62C50035C8}"/>
    <cellStyle name="Normal 8 2 4 2 2 4" xfId="9486" xr:uid="{9F6EBE4C-F02F-43A6-A388-D5EACB1B3099}"/>
    <cellStyle name="Normal 8 2 4 2 2 5" xfId="10380" xr:uid="{4F141348-4163-424B-83EC-413154A58128}"/>
    <cellStyle name="Normal 8 2 4 2 2 6" xfId="18827" xr:uid="{BCBA53B9-B5D7-4EFD-A149-594C99F31920}"/>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B3744122-FDF4-4FA1-920B-4124DCA870E5}"/>
    <cellStyle name="Normal 8 2 4 2 3 2 2 3" xfId="25602" xr:uid="{6A906D03-3FA8-4071-A5B5-33266A662174}"/>
    <cellStyle name="Normal 8 2 4 2 3 2 3" xfId="12938" xr:uid="{6D4A6040-5D95-403E-A00C-6B8EC8269F92}"/>
    <cellStyle name="Normal 8 2 4 2 3 2 4" xfId="21385" xr:uid="{1110FB77-2339-430A-A3F6-B04F235DFACD}"/>
    <cellStyle name="Normal 8 2 4 2 3 3" xfId="5684" xr:uid="{00000000-0005-0000-0000-0000EC1C0000}"/>
    <cellStyle name="Normal 8 2 4 2 3 3 2" xfId="15010" xr:uid="{09FD43BC-7556-4A4F-82E3-AE2D02BC07AC}"/>
    <cellStyle name="Normal 8 2 4 2 3 3 3" xfId="23457" xr:uid="{06AA5FDB-0899-4B7A-A589-1C1C5BBAC3AE}"/>
    <cellStyle name="Normal 8 2 4 2 3 4" xfId="10793" xr:uid="{33DF7CFC-DDE0-4DBD-BDC7-DE9E267234DD}"/>
    <cellStyle name="Normal 8 2 4 2 3 5" xfId="19240" xr:uid="{2A0C6EF0-AF20-4E77-B2FF-5A97AD7BD4C1}"/>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A127B593-CEC4-4A08-BBE0-3D5116234628}"/>
    <cellStyle name="Normal 8 2 4 2 4 2 2 3" xfId="26015" xr:uid="{ACA84175-319F-4CC0-9509-8922B648EEB2}"/>
    <cellStyle name="Normal 8 2 4 2 4 2 3" xfId="13351" xr:uid="{15AD413E-6466-4C59-B4A0-6E449670E6A9}"/>
    <cellStyle name="Normal 8 2 4 2 4 2 4" xfId="21798" xr:uid="{59A1293F-3631-49FC-BB12-C90FFC31AE1D}"/>
    <cellStyle name="Normal 8 2 4 2 4 3" xfId="6097" xr:uid="{00000000-0005-0000-0000-0000F01C0000}"/>
    <cellStyle name="Normal 8 2 4 2 4 3 2" xfId="15423" xr:uid="{7CA14452-84F4-4E9E-BF26-9EF648ED6EEE}"/>
    <cellStyle name="Normal 8 2 4 2 4 3 3" xfId="23870" xr:uid="{258F3CF0-DC5C-4931-A923-EE576308B920}"/>
    <cellStyle name="Normal 8 2 4 2 4 4" xfId="11206" xr:uid="{F1E011A6-30C5-4426-A996-E84467D52F2A}"/>
    <cellStyle name="Normal 8 2 4 2 4 5" xfId="19653" xr:uid="{9BEBA833-69A6-4444-83C9-87922746FA4C}"/>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0B4D6576-9CED-4318-99AB-28F8C848509C}"/>
    <cellStyle name="Normal 8 2 4 2 5 2 2 3" xfId="26428" xr:uid="{8008C213-B225-45FE-9AC5-9275ADBE2889}"/>
    <cellStyle name="Normal 8 2 4 2 5 2 3" xfId="13764" xr:uid="{B820C008-4D1D-45D2-9A29-0A1750EB6849}"/>
    <cellStyle name="Normal 8 2 4 2 5 2 4" xfId="22211" xr:uid="{1EDE1C2D-0F94-4519-9413-A6EC650C28D8}"/>
    <cellStyle name="Normal 8 2 4 2 5 3" xfId="6510" xr:uid="{00000000-0005-0000-0000-0000F41C0000}"/>
    <cellStyle name="Normal 8 2 4 2 5 3 2" xfId="15836" xr:uid="{2C69158A-C421-4D3E-9CF0-1C9F7D0603AC}"/>
    <cellStyle name="Normal 8 2 4 2 5 3 3" xfId="24283" xr:uid="{A9A32650-AF6C-4F5D-9A00-75BD3C81B758}"/>
    <cellStyle name="Normal 8 2 4 2 5 4" xfId="11619" xr:uid="{645E245D-BDC8-4B2C-BD32-160FFB7AF4AA}"/>
    <cellStyle name="Normal 8 2 4 2 5 5" xfId="20066" xr:uid="{9451D94E-45D1-4C01-91B0-289BC01B5E54}"/>
    <cellStyle name="Normal 8 2 4 2 6" xfId="2640" xr:uid="{00000000-0005-0000-0000-0000F51C0000}"/>
    <cellStyle name="Normal 8 2 4 2 6 2" xfId="6923" xr:uid="{00000000-0005-0000-0000-0000F61C0000}"/>
    <cellStyle name="Normal 8 2 4 2 6 2 2" xfId="16249" xr:uid="{E79BE6D5-265B-4C6D-A373-61F5445F5B8B}"/>
    <cellStyle name="Normal 8 2 4 2 6 2 3" xfId="24696" xr:uid="{58AD6532-C689-4712-8BE4-ABD1C4760828}"/>
    <cellStyle name="Normal 8 2 4 2 6 3" xfId="12032" xr:uid="{9B39E7E7-D4A3-4673-B06F-BF8946C3BDD8}"/>
    <cellStyle name="Normal 8 2 4 2 6 4" xfId="20479" xr:uid="{BF305042-7894-446D-AF61-3B5FD11645E7}"/>
    <cellStyle name="Normal 8 2 4 2 7" xfId="4858" xr:uid="{00000000-0005-0000-0000-0000F71C0000}"/>
    <cellStyle name="Normal 8 2 4 2 7 2" xfId="14184" xr:uid="{1E6C5F89-D141-4A99-A33B-DE58FB356508}"/>
    <cellStyle name="Normal 8 2 4 2 7 3" xfId="22631" xr:uid="{6F19B368-8619-4FD5-B2DF-2FE724CFE540}"/>
    <cellStyle name="Normal 8 2 4 2 8" xfId="9061" xr:uid="{7295DB82-9441-436C-AA3E-91B68F6E59B3}"/>
    <cellStyle name="Normal 8 2 4 2 9" xfId="9967" xr:uid="{03CA7A1A-E47A-46EB-85BC-4A4318C357C9}"/>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FB8F3B14-D7C0-4016-B201-AFA04EA23B96}"/>
    <cellStyle name="Normal 8 2 4 3 2 2 3" xfId="25188" xr:uid="{B7DA8B72-7D16-46AC-8AFA-E4A459C35390}"/>
    <cellStyle name="Normal 8 2 4 3 2 3" xfId="12524" xr:uid="{00BBB649-6C04-435A-9116-1F2967CDF104}"/>
    <cellStyle name="Normal 8 2 4 3 2 4" xfId="20971" xr:uid="{BE479645-6D5E-4BA4-91A0-CF1ECB1D124F}"/>
    <cellStyle name="Normal 8 2 4 3 3" xfId="5270" xr:uid="{00000000-0005-0000-0000-0000FB1C0000}"/>
    <cellStyle name="Normal 8 2 4 3 3 2" xfId="14596" xr:uid="{37F08BB1-E812-4F38-8194-AF204C7C9CBF}"/>
    <cellStyle name="Normal 8 2 4 3 3 3" xfId="23043" xr:uid="{BEF88110-2B85-45E2-82AA-195D55257307}"/>
    <cellStyle name="Normal 8 2 4 3 4" xfId="9279" xr:uid="{BA09D30D-BEBA-4223-83E6-57FB46A1EFA8}"/>
    <cellStyle name="Normal 8 2 4 3 5" xfId="10379" xr:uid="{2E3596E0-D62B-4DE5-8426-E52E3652876A}"/>
    <cellStyle name="Normal 8 2 4 3 6" xfId="18826" xr:uid="{0090D1EB-A75B-4FDC-A4D0-C70D4CA6D6A6}"/>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83F5BE12-B632-4168-A1D2-28229B7B5AD1}"/>
    <cellStyle name="Normal 8 2 4 4 2 2 3" xfId="25601" xr:uid="{8BF012D7-9101-4B05-AAAF-0D901C5D2F59}"/>
    <cellStyle name="Normal 8 2 4 4 2 3" xfId="12937" xr:uid="{E2C42399-5486-4978-AF81-0EDB5C78D395}"/>
    <cellStyle name="Normal 8 2 4 4 2 4" xfId="21384" xr:uid="{36B29EC7-0A22-4266-A124-B8CC3A6C389B}"/>
    <cellStyle name="Normal 8 2 4 4 3" xfId="5683" xr:uid="{00000000-0005-0000-0000-0000FF1C0000}"/>
    <cellStyle name="Normal 8 2 4 4 3 2" xfId="15009" xr:uid="{2629D9C8-2494-4B69-AE85-9935286EFFA6}"/>
    <cellStyle name="Normal 8 2 4 4 3 3" xfId="23456" xr:uid="{5451EDBE-0755-4440-81C6-D590E337B80D}"/>
    <cellStyle name="Normal 8 2 4 4 4" xfId="10792" xr:uid="{2BAE4262-DD1D-49BF-A5B9-9C5AB90AE0DD}"/>
    <cellStyle name="Normal 8 2 4 4 5" xfId="19239" xr:uid="{0FFA7EF2-F93E-4D42-9CB8-41078C6ECD02}"/>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E0DA81E0-8CF1-4330-B5EE-062CE84707CF}"/>
    <cellStyle name="Normal 8 2 4 5 2 2 3" xfId="26014" xr:uid="{40D0887A-9400-4AE2-A9A0-27F31378E47B}"/>
    <cellStyle name="Normal 8 2 4 5 2 3" xfId="13350" xr:uid="{AFECF44D-7F05-44CF-9EB3-FC3F5693162C}"/>
    <cellStyle name="Normal 8 2 4 5 2 4" xfId="21797" xr:uid="{6D3C943A-CCCA-486C-B3D0-8A806AE5AB80}"/>
    <cellStyle name="Normal 8 2 4 5 3" xfId="6096" xr:uid="{00000000-0005-0000-0000-0000031D0000}"/>
    <cellStyle name="Normal 8 2 4 5 3 2" xfId="15422" xr:uid="{32E8CEFC-6BB7-4769-B82B-331BD285FB85}"/>
    <cellStyle name="Normal 8 2 4 5 3 3" xfId="23869" xr:uid="{9DE88A9B-3E88-4B4F-9E22-9A4DAC0330C0}"/>
    <cellStyle name="Normal 8 2 4 5 4" xfId="11205" xr:uid="{BD095631-D7CE-4B18-BFD2-35577CD62E84}"/>
    <cellStyle name="Normal 8 2 4 5 5" xfId="19652" xr:uid="{1E590FC3-25FE-4D41-A0A1-9988AC32F83B}"/>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40E6FE5E-95D7-4EC6-A409-213F9A3A63A6}"/>
    <cellStyle name="Normal 8 2 4 6 2 2 3" xfId="26427" xr:uid="{1542310C-9D2C-41EE-82ED-DCC23B82CBE1}"/>
    <cellStyle name="Normal 8 2 4 6 2 3" xfId="13763" xr:uid="{9D942808-29E4-43AB-90A2-58885F313F37}"/>
    <cellStyle name="Normal 8 2 4 6 2 4" xfId="22210" xr:uid="{B6F76B1E-F01B-4BA7-BE0D-5821B3C25D31}"/>
    <cellStyle name="Normal 8 2 4 6 3" xfId="6509" xr:uid="{00000000-0005-0000-0000-0000071D0000}"/>
    <cellStyle name="Normal 8 2 4 6 3 2" xfId="15835" xr:uid="{19F7BA71-4EA0-4BF9-BB61-6B686554E9CD}"/>
    <cellStyle name="Normal 8 2 4 6 3 3" xfId="24282" xr:uid="{F77285E4-D4E9-445A-B9F1-1B1FE3858CD7}"/>
    <cellStyle name="Normal 8 2 4 6 4" xfId="11618" xr:uid="{77A98673-A3DD-483B-B6C8-8A2C6F282623}"/>
    <cellStyle name="Normal 8 2 4 6 5" xfId="20065" xr:uid="{2C9DB722-99CE-4FF4-AE60-C29A397D471C}"/>
    <cellStyle name="Normal 8 2 4 7" xfId="2639" xr:uid="{00000000-0005-0000-0000-0000081D0000}"/>
    <cellStyle name="Normal 8 2 4 7 2" xfId="6922" xr:uid="{00000000-0005-0000-0000-0000091D0000}"/>
    <cellStyle name="Normal 8 2 4 7 2 2" xfId="16248" xr:uid="{3731368A-3EF6-4EF8-A91D-112904205AA5}"/>
    <cellStyle name="Normal 8 2 4 7 2 3" xfId="24695" xr:uid="{67F738AC-D67F-4076-8F97-2EC7C09AAEAF}"/>
    <cellStyle name="Normal 8 2 4 7 3" xfId="12031" xr:uid="{C4731E9F-BE8A-4E4B-A78B-21F354A54D0B}"/>
    <cellStyle name="Normal 8 2 4 7 4" xfId="20478" xr:uid="{A14A9CFE-80CF-4513-9638-C255671FB22F}"/>
    <cellStyle name="Normal 8 2 4 8" xfId="4857" xr:uid="{00000000-0005-0000-0000-00000A1D0000}"/>
    <cellStyle name="Normal 8 2 4 8 2" xfId="14183" xr:uid="{715B1352-A914-46B5-B0FA-1B2505E0EDC1}"/>
    <cellStyle name="Normal 8 2 4 8 3" xfId="22630" xr:uid="{40E3E57F-8835-4CDC-8FE2-24F4EA2EBC12}"/>
    <cellStyle name="Normal 8 2 4 9" xfId="8854" xr:uid="{F1F9C500-F3E2-475A-983E-BD697F4BACD1}"/>
    <cellStyle name="Normal 8 2 5" xfId="494" xr:uid="{00000000-0005-0000-0000-00000B1D0000}"/>
    <cellStyle name="Normal 8 2 5 10" xfId="18415" xr:uid="{6D006DAF-030F-490E-8B4B-A2E5EC4E0394}"/>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E6FF78D7-397A-4B11-A5D2-31EADDC33E85}"/>
    <cellStyle name="Normal 8 2 5 2 2 2 3" xfId="25190" xr:uid="{97917A2B-41B1-42B6-97BB-8BF3783020E5}"/>
    <cellStyle name="Normal 8 2 5 2 2 3" xfId="12526" xr:uid="{0ABF141E-862C-49C1-8EC4-A5F92EE23941}"/>
    <cellStyle name="Normal 8 2 5 2 2 4" xfId="20973" xr:uid="{F56E34A9-1A6B-405B-8BB7-2A5FC3154350}"/>
    <cellStyle name="Normal 8 2 5 2 3" xfId="5272" xr:uid="{00000000-0005-0000-0000-00000F1D0000}"/>
    <cellStyle name="Normal 8 2 5 2 3 2" xfId="14598" xr:uid="{81576D0D-0034-4CA3-A87C-B58158CC4577}"/>
    <cellStyle name="Normal 8 2 5 2 3 3" xfId="23045" xr:uid="{53494DBE-2B2A-4D1A-96C1-527A5D5A7810}"/>
    <cellStyle name="Normal 8 2 5 2 4" xfId="9395" xr:uid="{D5766EF3-6042-484F-B510-7448518CF571}"/>
    <cellStyle name="Normal 8 2 5 2 5" xfId="10381" xr:uid="{B7B52C04-7453-4326-BD6E-BB34204F3492}"/>
    <cellStyle name="Normal 8 2 5 2 6" xfId="18828" xr:uid="{08738156-3639-43E0-93BA-7C90F051F99D}"/>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DFCF3834-A575-4EBA-A8FD-2EB75216DE5C}"/>
    <cellStyle name="Normal 8 2 5 3 2 2 3" xfId="25603" xr:uid="{05CBE84D-9417-40AC-9D7C-4BB79516014C}"/>
    <cellStyle name="Normal 8 2 5 3 2 3" xfId="12939" xr:uid="{09576DB0-9F15-4C48-9B8A-1B90A1AB5DA6}"/>
    <cellStyle name="Normal 8 2 5 3 2 4" xfId="21386" xr:uid="{8AC76065-51BD-4B3E-B08B-514672AE2965}"/>
    <cellStyle name="Normal 8 2 5 3 3" xfId="5685" xr:uid="{00000000-0005-0000-0000-0000131D0000}"/>
    <cellStyle name="Normal 8 2 5 3 3 2" xfId="15011" xr:uid="{9FC35B84-FF94-45D1-ADD4-1DF23EBCE7F2}"/>
    <cellStyle name="Normal 8 2 5 3 3 3" xfId="23458" xr:uid="{82D4128C-E866-4BBD-9C3F-573F5DDE2855}"/>
    <cellStyle name="Normal 8 2 5 3 4" xfId="10794" xr:uid="{58B74F41-4191-48A3-A7B2-835286665748}"/>
    <cellStyle name="Normal 8 2 5 3 5" xfId="19241" xr:uid="{00E91734-00B7-4B70-A597-1C482D9BF660}"/>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3C9AA475-3D14-4060-A897-DD515F97403F}"/>
    <cellStyle name="Normal 8 2 5 4 2 2 3" xfId="26016" xr:uid="{B00475F7-DBF8-4B32-BE42-C8301C7D85D6}"/>
    <cellStyle name="Normal 8 2 5 4 2 3" xfId="13352" xr:uid="{11215CEA-156C-4A8F-8F91-F5C8FE02A79D}"/>
    <cellStyle name="Normal 8 2 5 4 2 4" xfId="21799" xr:uid="{F17E9A26-04B6-4EA4-B199-32B24366DA59}"/>
    <cellStyle name="Normal 8 2 5 4 3" xfId="6098" xr:uid="{00000000-0005-0000-0000-0000171D0000}"/>
    <cellStyle name="Normal 8 2 5 4 3 2" xfId="15424" xr:uid="{7E1F5DEF-25F6-4E18-8769-B98FDF0F1F1C}"/>
    <cellStyle name="Normal 8 2 5 4 3 3" xfId="23871" xr:uid="{CBF22F4F-F7BA-4103-AF41-1FBFAE61EA39}"/>
    <cellStyle name="Normal 8 2 5 4 4" xfId="11207" xr:uid="{D8D61566-0CFF-4009-9C69-A65ECED3E650}"/>
    <cellStyle name="Normal 8 2 5 4 5" xfId="19654" xr:uid="{551D88BE-87BA-43D3-AFCE-F07A41ED02A8}"/>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A471169F-02C9-4250-9418-2CB511972E5F}"/>
    <cellStyle name="Normal 8 2 5 5 2 2 3" xfId="26429" xr:uid="{2C760A83-1123-4452-8ACB-83D9E299992C}"/>
    <cellStyle name="Normal 8 2 5 5 2 3" xfId="13765" xr:uid="{16323D7D-B6F7-43EA-9DBD-65844E356414}"/>
    <cellStyle name="Normal 8 2 5 5 2 4" xfId="22212" xr:uid="{A647CD59-0506-45CF-B4FE-33CFD4A69C6C}"/>
    <cellStyle name="Normal 8 2 5 5 3" xfId="6511" xr:uid="{00000000-0005-0000-0000-00001B1D0000}"/>
    <cellStyle name="Normal 8 2 5 5 3 2" xfId="15837" xr:uid="{454A3BD3-475C-4A35-9A73-6AE52DFA4230}"/>
    <cellStyle name="Normal 8 2 5 5 3 3" xfId="24284" xr:uid="{B5EF26D9-20F2-48B7-9082-DDCF306EF29B}"/>
    <cellStyle name="Normal 8 2 5 5 4" xfId="11620" xr:uid="{89C59E06-306B-4FF8-897A-A3109E701C00}"/>
    <cellStyle name="Normal 8 2 5 5 5" xfId="20067" xr:uid="{7FE842E8-961B-49D4-BB9D-D614F0FB0656}"/>
    <cellStyle name="Normal 8 2 5 6" xfId="2641" xr:uid="{00000000-0005-0000-0000-00001C1D0000}"/>
    <cellStyle name="Normal 8 2 5 6 2" xfId="6924" xr:uid="{00000000-0005-0000-0000-00001D1D0000}"/>
    <cellStyle name="Normal 8 2 5 6 2 2" xfId="16250" xr:uid="{6BE3B5EA-67B3-492D-A60F-5FDED109646A}"/>
    <cellStyle name="Normal 8 2 5 6 2 3" xfId="24697" xr:uid="{66536C65-EDC8-4AE7-9732-2CCA24BC35E1}"/>
    <cellStyle name="Normal 8 2 5 6 3" xfId="12033" xr:uid="{97EB6160-4C02-4556-8117-AF223901732E}"/>
    <cellStyle name="Normal 8 2 5 6 4" xfId="20480" xr:uid="{EEF47BB2-C5B8-41E8-A9A5-4BF1686AAC5E}"/>
    <cellStyle name="Normal 8 2 5 7" xfId="4859" xr:uid="{00000000-0005-0000-0000-00001E1D0000}"/>
    <cellStyle name="Normal 8 2 5 7 2" xfId="14185" xr:uid="{9FFDD503-3C0A-442E-83DB-C83A1DD8C5F7}"/>
    <cellStyle name="Normal 8 2 5 7 3" xfId="22632" xr:uid="{9146FC35-3784-4FF0-A53E-EE9E8795C9D8}"/>
    <cellStyle name="Normal 8 2 5 8" xfId="8970" xr:uid="{7E9ACEFF-1680-45D8-BC32-8CA9BA1D63D4}"/>
    <cellStyle name="Normal 8 2 5 9" xfId="9968" xr:uid="{A39932CF-F16C-49FC-959F-D9E7BB4D795E}"/>
    <cellStyle name="Normal 8 2 6" xfId="946" xr:uid="{00000000-0005-0000-0000-00001F1D0000}"/>
    <cellStyle name="Normal 8 2 6 2" xfId="3180" xr:uid="{00000000-0005-0000-0000-0000201D0000}"/>
    <cellStyle name="Normal 8 2 6 2 2" xfId="7402" xr:uid="{00000000-0005-0000-0000-0000211D0000}"/>
    <cellStyle name="Normal 8 2 6 2 2 2" xfId="16728" xr:uid="{74D1DE9F-93E3-4919-99DD-C03D7E5F8AB4}"/>
    <cellStyle name="Normal 8 2 6 2 2 3" xfId="25175" xr:uid="{F79C9F66-0FD7-450B-AED1-933BE0E5B5D2}"/>
    <cellStyle name="Normal 8 2 6 2 3" xfId="12511" xr:uid="{95920396-4C6A-4DA6-A7F0-91A38663151F}"/>
    <cellStyle name="Normal 8 2 6 2 4" xfId="20958" xr:uid="{3908135E-F013-4E29-8373-A72C1B50B1FF}"/>
    <cellStyle name="Normal 8 2 6 3" xfId="5257" xr:uid="{00000000-0005-0000-0000-0000221D0000}"/>
    <cellStyle name="Normal 8 2 6 3 2" xfId="14583" xr:uid="{B516ED61-A64A-438D-B4F4-738B3090B3BC}"/>
    <cellStyle name="Normal 8 2 6 3 3" xfId="23030" xr:uid="{A6A33CC2-1265-46E7-A7E7-B3C04E2EBBD8}"/>
    <cellStyle name="Normal 8 2 6 4" xfId="9173" xr:uid="{C36295B3-E6F0-4A6D-AEE5-72C8177C13EE}"/>
    <cellStyle name="Normal 8 2 6 5" xfId="10366" xr:uid="{27EC2AFD-D482-41E7-9FC2-71DE6932CE65}"/>
    <cellStyle name="Normal 8 2 6 6" xfId="18813" xr:uid="{BB300D99-C176-4F76-AE71-C49949505330}"/>
    <cellStyle name="Normal 8 2 7" xfId="1363" xr:uid="{00000000-0005-0000-0000-0000231D0000}"/>
    <cellStyle name="Normal 8 2 7 2" xfId="3593" xr:uid="{00000000-0005-0000-0000-0000241D0000}"/>
    <cellStyle name="Normal 8 2 7 2 2" xfId="7815" xr:uid="{00000000-0005-0000-0000-0000251D0000}"/>
    <cellStyle name="Normal 8 2 7 2 2 2" xfId="17141" xr:uid="{882F9497-B511-4AD3-AD68-97B5B5596E85}"/>
    <cellStyle name="Normal 8 2 7 2 2 3" xfId="25588" xr:uid="{42B77CB6-A645-4CBF-B101-08B944ADF6DE}"/>
    <cellStyle name="Normal 8 2 7 2 3" xfId="12924" xr:uid="{2E438AD8-BC2A-45F9-9236-6C3AF4829F74}"/>
    <cellStyle name="Normal 8 2 7 2 4" xfId="21371" xr:uid="{2B0812C3-4BF5-4B49-91F9-1C66470ABD6F}"/>
    <cellStyle name="Normal 8 2 7 3" xfId="5670" xr:uid="{00000000-0005-0000-0000-0000261D0000}"/>
    <cellStyle name="Normal 8 2 7 3 2" xfId="14996" xr:uid="{F6FC1065-A4E0-4DE4-8CE1-D2833CC4BE80}"/>
    <cellStyle name="Normal 8 2 7 3 3" xfId="23443" xr:uid="{FB72629E-5BD2-432F-AA5E-2D3273BB6D06}"/>
    <cellStyle name="Normal 8 2 7 4" xfId="10779" xr:uid="{3DB71A40-C1FE-4A8C-A167-CA13ACEFE741}"/>
    <cellStyle name="Normal 8 2 7 5" xfId="19226" xr:uid="{049006A6-FC63-49DC-94F2-852CA1E76A4A}"/>
    <cellStyle name="Normal 8 2 8" xfId="1776" xr:uid="{00000000-0005-0000-0000-0000271D0000}"/>
    <cellStyle name="Normal 8 2 8 2" xfId="4006" xr:uid="{00000000-0005-0000-0000-0000281D0000}"/>
    <cellStyle name="Normal 8 2 8 2 2" xfId="8228" xr:uid="{00000000-0005-0000-0000-0000291D0000}"/>
    <cellStyle name="Normal 8 2 8 2 2 2" xfId="17554" xr:uid="{F6DDD142-FE5A-4AA5-AFD6-C746F442EDB0}"/>
    <cellStyle name="Normal 8 2 8 2 2 3" xfId="26001" xr:uid="{5669C1E6-8DFD-4F67-9BB7-CDC43B066CDC}"/>
    <cellStyle name="Normal 8 2 8 2 3" xfId="13337" xr:uid="{51447514-7A84-4FC1-BF1C-D3A6ED702521}"/>
    <cellStyle name="Normal 8 2 8 2 4" xfId="21784" xr:uid="{0F0A82EA-DE0E-4E81-860E-4E2091E89432}"/>
    <cellStyle name="Normal 8 2 8 3" xfId="6083" xr:uid="{00000000-0005-0000-0000-00002A1D0000}"/>
    <cellStyle name="Normal 8 2 8 3 2" xfId="15409" xr:uid="{EAD38A61-51EF-4EA3-82AB-E16C88345AE8}"/>
    <cellStyle name="Normal 8 2 8 3 3" xfId="23856" xr:uid="{38502AD5-F70D-4251-AC92-E81DF4267A9A}"/>
    <cellStyle name="Normal 8 2 8 4" xfId="11192" xr:uid="{9D791892-A2EF-4349-B764-F90A07E76A1E}"/>
    <cellStyle name="Normal 8 2 8 5" xfId="19639" xr:uid="{DD6BAEA5-76E2-4BB8-AEE2-83956C71CF26}"/>
    <cellStyle name="Normal 8 2 9" xfId="2190" xr:uid="{00000000-0005-0000-0000-00002B1D0000}"/>
    <cellStyle name="Normal 8 2 9 2" xfId="4419" xr:uid="{00000000-0005-0000-0000-00002C1D0000}"/>
    <cellStyle name="Normal 8 2 9 2 2" xfId="8641" xr:uid="{00000000-0005-0000-0000-00002D1D0000}"/>
    <cellStyle name="Normal 8 2 9 2 2 2" xfId="17967" xr:uid="{C9A6E275-17F3-47CF-A333-465652071FB4}"/>
    <cellStyle name="Normal 8 2 9 2 2 3" xfId="26414" xr:uid="{40759503-BC46-4B64-BA84-E01751ACD57A}"/>
    <cellStyle name="Normal 8 2 9 2 3" xfId="13750" xr:uid="{6512FFAA-A729-4C1B-BD32-43F43669D30E}"/>
    <cellStyle name="Normal 8 2 9 2 4" xfId="22197" xr:uid="{0F157DEF-1F55-4D9E-8A53-6A482A0956B7}"/>
    <cellStyle name="Normal 8 2 9 3" xfId="6496" xr:uid="{00000000-0005-0000-0000-00002E1D0000}"/>
    <cellStyle name="Normal 8 2 9 3 2" xfId="15822" xr:uid="{08C124FC-0EB5-41AC-89D4-F1F3B52A53B9}"/>
    <cellStyle name="Normal 8 2 9 3 3" xfId="24269" xr:uid="{FCDC9B09-965F-4271-B120-ACB87AD84246}"/>
    <cellStyle name="Normal 8 2 9 4" xfId="11605" xr:uid="{A97CEE2D-9718-4395-A202-F254D555D3C3}"/>
    <cellStyle name="Normal 8 2 9 5" xfId="20052" xr:uid="{94DC07EE-211D-494A-ACD1-264FD2BF3E17}"/>
    <cellStyle name="Normal 8 3" xfId="495" xr:uid="{00000000-0005-0000-0000-00002F1D0000}"/>
    <cellStyle name="Normal 8 3 10" xfId="4860" xr:uid="{00000000-0005-0000-0000-0000301D0000}"/>
    <cellStyle name="Normal 8 3 10 2" xfId="14186" xr:uid="{7CE696DB-50E9-44BA-ADF1-957658F3F017}"/>
    <cellStyle name="Normal 8 3 10 3" xfId="22633" xr:uid="{9473E4C3-9D31-4E76-A605-1F155132710F}"/>
    <cellStyle name="Normal 8 3 11" xfId="8774" xr:uid="{81BDDADD-940D-4F3A-BD6C-7E4719C8A3D2}"/>
    <cellStyle name="Normal 8 3 12" xfId="9969" xr:uid="{8C94F0F1-CF3B-4613-BFD2-082A081712DB}"/>
    <cellStyle name="Normal 8 3 13" xfId="18416" xr:uid="{C8E7D35F-8C0C-40DD-9929-B6FB032702FF}"/>
    <cellStyle name="Normal 8 3 2" xfId="496" xr:uid="{00000000-0005-0000-0000-0000311D0000}"/>
    <cellStyle name="Normal 8 3 2 10" xfId="8837" xr:uid="{392842AA-84B1-4A71-AE94-A1B631487B7E}"/>
    <cellStyle name="Normal 8 3 2 11" xfId="9970" xr:uid="{C9252AE8-9621-4CC0-91AB-B0CE0F2C0D6B}"/>
    <cellStyle name="Normal 8 3 2 12" xfId="18417" xr:uid="{98D411D1-2355-4EEA-8B48-EC2B51B8AC36}"/>
    <cellStyle name="Normal 8 3 2 2" xfId="497" xr:uid="{00000000-0005-0000-0000-0000321D0000}"/>
    <cellStyle name="Normal 8 3 2 2 10" xfId="9971" xr:uid="{FEB82CB7-19A4-4474-93FD-3FAA12342F38}"/>
    <cellStyle name="Normal 8 3 2 2 11" xfId="18418" xr:uid="{F890F5C7-05D7-4D37-B568-578C657D0D54}"/>
    <cellStyle name="Normal 8 3 2 2 2" xfId="498" xr:uid="{00000000-0005-0000-0000-0000331D0000}"/>
    <cellStyle name="Normal 8 3 2 2 2 10" xfId="18419" xr:uid="{E64D1040-FA6E-471E-B85A-277490E4F455}"/>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AB46C83E-AC29-434C-8E1F-423B3143D04A}"/>
    <cellStyle name="Normal 8 3 2 2 2 2 2 2 3" xfId="25194" xr:uid="{475C13E6-839A-4AD4-8F20-36BE4BC96378}"/>
    <cellStyle name="Normal 8 3 2 2 2 2 2 3" xfId="12530" xr:uid="{B94A0F3F-2D92-4421-B646-ADEF8FD8FE24}"/>
    <cellStyle name="Normal 8 3 2 2 2 2 2 4" xfId="20977" xr:uid="{8A19162A-5664-4706-B0BE-003CA1BED1A9}"/>
    <cellStyle name="Normal 8 3 2 2 2 2 3" xfId="5276" xr:uid="{00000000-0005-0000-0000-0000371D0000}"/>
    <cellStyle name="Normal 8 3 2 2 2 2 3 2" xfId="14602" xr:uid="{930D5B4A-35D9-4D02-B545-201BA2FB223E}"/>
    <cellStyle name="Normal 8 3 2 2 2 2 3 3" xfId="23049" xr:uid="{189CD74E-33C3-4796-8E17-0AFEEBB3A97E}"/>
    <cellStyle name="Normal 8 3 2 2 2 2 4" xfId="9572" xr:uid="{83269435-2305-4677-BD8B-8CB801DC108A}"/>
    <cellStyle name="Normal 8 3 2 2 2 2 5" xfId="10385" xr:uid="{9ED89BD7-96A0-4CA5-8260-7720A4187628}"/>
    <cellStyle name="Normal 8 3 2 2 2 2 6" xfId="18832" xr:uid="{DAA4C6AB-FA24-4DD1-9110-A74B14A040F8}"/>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BB32DA7D-66B8-49F8-89BC-904B6F94B4FF}"/>
    <cellStyle name="Normal 8 3 2 2 2 3 2 2 3" xfId="25607" xr:uid="{90FE7C3B-6DA3-47F4-B340-6C1489AB8F0B}"/>
    <cellStyle name="Normal 8 3 2 2 2 3 2 3" xfId="12943" xr:uid="{9090D6A1-0FE2-459A-9B32-878BD4AE279B}"/>
    <cellStyle name="Normal 8 3 2 2 2 3 2 4" xfId="21390" xr:uid="{934D1AA2-261F-4A4D-89E8-FF50E0A96519}"/>
    <cellStyle name="Normal 8 3 2 2 2 3 3" xfId="5689" xr:uid="{00000000-0005-0000-0000-00003B1D0000}"/>
    <cellStyle name="Normal 8 3 2 2 2 3 3 2" xfId="15015" xr:uid="{7871D195-7DEA-4714-85E6-94458F01B55D}"/>
    <cellStyle name="Normal 8 3 2 2 2 3 3 3" xfId="23462" xr:uid="{2473A27E-EB4E-44C7-BDE9-D31BD053DB28}"/>
    <cellStyle name="Normal 8 3 2 2 2 3 4" xfId="10798" xr:uid="{ACF7E7DB-74B9-4308-9A26-2465F80204B9}"/>
    <cellStyle name="Normal 8 3 2 2 2 3 5" xfId="19245" xr:uid="{67157BA3-3F36-4A72-9780-E642BD7998AC}"/>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F328B60D-0357-47AA-A07A-5F81E1A4BDFD}"/>
    <cellStyle name="Normal 8 3 2 2 2 4 2 2 3" xfId="26020" xr:uid="{C913D14F-1E44-4CDD-8E07-B8419C5859E2}"/>
    <cellStyle name="Normal 8 3 2 2 2 4 2 3" xfId="13356" xr:uid="{AEB8F579-B386-4B90-9FA0-7D1881F47ABC}"/>
    <cellStyle name="Normal 8 3 2 2 2 4 2 4" xfId="21803" xr:uid="{C7C3BD6E-37C3-4389-A55B-F0E466EA2720}"/>
    <cellStyle name="Normal 8 3 2 2 2 4 3" xfId="6102" xr:uid="{00000000-0005-0000-0000-00003F1D0000}"/>
    <cellStyle name="Normal 8 3 2 2 2 4 3 2" xfId="15428" xr:uid="{8013D43C-8787-4AA8-8320-BC14819881E7}"/>
    <cellStyle name="Normal 8 3 2 2 2 4 3 3" xfId="23875" xr:uid="{A6BBEBEA-617D-467B-B59B-774507BA5670}"/>
    <cellStyle name="Normal 8 3 2 2 2 4 4" xfId="11211" xr:uid="{0B5A5C32-0D16-435F-A78D-9ECCC2D3D8D2}"/>
    <cellStyle name="Normal 8 3 2 2 2 4 5" xfId="19658" xr:uid="{9BCBAF5C-E4EA-4495-B12F-BFE72290443F}"/>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61B37439-B784-4B18-928D-9E62462EC818}"/>
    <cellStyle name="Normal 8 3 2 2 2 5 2 2 3" xfId="26433" xr:uid="{0555408A-E192-4DE9-88CD-6FD887B55A6E}"/>
    <cellStyle name="Normal 8 3 2 2 2 5 2 3" xfId="13769" xr:uid="{412C24AE-EA84-424F-A2D2-6A613CB6AF6C}"/>
    <cellStyle name="Normal 8 3 2 2 2 5 2 4" xfId="22216" xr:uid="{02FC93FA-62C3-4D3C-AC16-94C3DB61BFF0}"/>
    <cellStyle name="Normal 8 3 2 2 2 5 3" xfId="6515" xr:uid="{00000000-0005-0000-0000-0000431D0000}"/>
    <cellStyle name="Normal 8 3 2 2 2 5 3 2" xfId="15841" xr:uid="{36704A3E-76F1-4D29-BD16-C94544F3990C}"/>
    <cellStyle name="Normal 8 3 2 2 2 5 3 3" xfId="24288" xr:uid="{B8A90612-D05C-4437-8295-FCA55BE92BEB}"/>
    <cellStyle name="Normal 8 3 2 2 2 5 4" xfId="11624" xr:uid="{AAB5ED5E-E8F9-4AA0-8395-DBB71C04E753}"/>
    <cellStyle name="Normal 8 3 2 2 2 5 5" xfId="20071" xr:uid="{7A755B4F-A21D-40DA-AC05-94BC9E706489}"/>
    <cellStyle name="Normal 8 3 2 2 2 6" xfId="2645" xr:uid="{00000000-0005-0000-0000-0000441D0000}"/>
    <cellStyle name="Normal 8 3 2 2 2 6 2" xfId="6928" xr:uid="{00000000-0005-0000-0000-0000451D0000}"/>
    <cellStyle name="Normal 8 3 2 2 2 6 2 2" xfId="16254" xr:uid="{4419E0A8-2DE6-4AFF-BBFC-BAA1846F988E}"/>
    <cellStyle name="Normal 8 3 2 2 2 6 2 3" xfId="24701" xr:uid="{5FA25539-16B4-485F-9547-6C70B0D2588E}"/>
    <cellStyle name="Normal 8 3 2 2 2 6 3" xfId="12037" xr:uid="{E482259D-6155-4B35-BC51-116869B77920}"/>
    <cellStyle name="Normal 8 3 2 2 2 6 4" xfId="20484" xr:uid="{893CA92F-FC8B-400A-AB2E-5913FF8B7BF2}"/>
    <cellStyle name="Normal 8 3 2 2 2 7" xfId="4863" xr:uid="{00000000-0005-0000-0000-0000461D0000}"/>
    <cellStyle name="Normal 8 3 2 2 2 7 2" xfId="14189" xr:uid="{ED2EE921-C204-472C-A49D-633B3EDEA5B1}"/>
    <cellStyle name="Normal 8 3 2 2 2 7 3" xfId="22636" xr:uid="{CA943863-A30A-4DE2-B27E-5B96097BD059}"/>
    <cellStyle name="Normal 8 3 2 2 2 8" xfId="9147" xr:uid="{16780743-13F5-44BF-919B-157B86988913}"/>
    <cellStyle name="Normal 8 3 2 2 2 9" xfId="9972" xr:uid="{B37A9818-6D97-473A-826C-4123E52455CE}"/>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CB4FE5B5-2C68-4132-A829-F0413AD4943C}"/>
    <cellStyle name="Normal 8 3 2 2 3 2 2 3" xfId="25193" xr:uid="{A0DA96BB-2956-4B86-AF29-F15961E17BE8}"/>
    <cellStyle name="Normal 8 3 2 2 3 2 3" xfId="12529" xr:uid="{31ACF4B0-BB71-45F3-ADDC-25EFC2BB7C35}"/>
    <cellStyle name="Normal 8 3 2 2 3 2 4" xfId="20976" xr:uid="{82B81036-7A7C-4091-A8D2-3DA7BFE4D39C}"/>
    <cellStyle name="Normal 8 3 2 2 3 3" xfId="5275" xr:uid="{00000000-0005-0000-0000-00004A1D0000}"/>
    <cellStyle name="Normal 8 3 2 2 3 3 2" xfId="14601" xr:uid="{3DB74F57-2D27-49C4-803F-09EB4422893B}"/>
    <cellStyle name="Normal 8 3 2 2 3 3 3" xfId="23048" xr:uid="{4F5CEEB0-0830-4D3A-A2AD-BE56014B151B}"/>
    <cellStyle name="Normal 8 3 2 2 3 4" xfId="9365" xr:uid="{47FF7C14-7484-41B9-856F-11398F7B2C7C}"/>
    <cellStyle name="Normal 8 3 2 2 3 5" xfId="10384" xr:uid="{027B5E5B-2F26-42B7-9A44-B8E47C786343}"/>
    <cellStyle name="Normal 8 3 2 2 3 6" xfId="18831" xr:uid="{2C013982-589D-4712-AFD4-9FE32379103F}"/>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04811640-F66B-41EE-BCC4-482E3EFC0831}"/>
    <cellStyle name="Normal 8 3 2 2 4 2 2 3" xfId="25606" xr:uid="{D30D8671-E862-48D2-84A4-9B9DA79C83C4}"/>
    <cellStyle name="Normal 8 3 2 2 4 2 3" xfId="12942" xr:uid="{E28C3513-73D2-4D8A-992A-8AAEF987BF33}"/>
    <cellStyle name="Normal 8 3 2 2 4 2 4" xfId="21389" xr:uid="{5EAF523E-39D0-4167-8AF0-73C1D95A809A}"/>
    <cellStyle name="Normal 8 3 2 2 4 3" xfId="5688" xr:uid="{00000000-0005-0000-0000-00004E1D0000}"/>
    <cellStyle name="Normal 8 3 2 2 4 3 2" xfId="15014" xr:uid="{BD854D39-F4E1-4F38-BCB3-2634272258A6}"/>
    <cellStyle name="Normal 8 3 2 2 4 3 3" xfId="23461" xr:uid="{D1F76F1B-7FD8-4BAC-B9DB-4D5B2EFE3CED}"/>
    <cellStyle name="Normal 8 3 2 2 4 4" xfId="10797" xr:uid="{D4BA9D12-C657-4D4C-A4E2-84110043B7E8}"/>
    <cellStyle name="Normal 8 3 2 2 4 5" xfId="19244" xr:uid="{B41482C2-D205-4620-A2D2-E641727B1383}"/>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6FBED16F-07C9-4BC4-9FD2-19EEF8461398}"/>
    <cellStyle name="Normal 8 3 2 2 5 2 2 3" xfId="26019" xr:uid="{3EA45689-E661-4904-824E-B500E0820B6F}"/>
    <cellStyle name="Normal 8 3 2 2 5 2 3" xfId="13355" xr:uid="{26F56138-885E-4A8B-9E0F-5E07C739F0A2}"/>
    <cellStyle name="Normal 8 3 2 2 5 2 4" xfId="21802" xr:uid="{F6183C7C-D020-4FE7-B510-BD34C9548FEF}"/>
    <cellStyle name="Normal 8 3 2 2 5 3" xfId="6101" xr:uid="{00000000-0005-0000-0000-0000521D0000}"/>
    <cellStyle name="Normal 8 3 2 2 5 3 2" xfId="15427" xr:uid="{F69710C4-5C91-4FE4-8A0D-0536A75B6891}"/>
    <cellStyle name="Normal 8 3 2 2 5 3 3" xfId="23874" xr:uid="{1D7FB2C7-7CC4-4513-82E5-EB7B0393860D}"/>
    <cellStyle name="Normal 8 3 2 2 5 4" xfId="11210" xr:uid="{912DC5CC-27C6-41C6-A57F-D52430B095E6}"/>
    <cellStyle name="Normal 8 3 2 2 5 5" xfId="19657" xr:uid="{D0C7AB84-09F8-4E61-831C-37FFCA4B3D08}"/>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2C07C135-FF43-4AA2-A6C3-21A61140A114}"/>
    <cellStyle name="Normal 8 3 2 2 6 2 2 3" xfId="26432" xr:uid="{903F0119-BE51-4E93-8CC6-31E2E42ED013}"/>
    <cellStyle name="Normal 8 3 2 2 6 2 3" xfId="13768" xr:uid="{28B2D7BA-7863-4B44-8A51-676B59458CBF}"/>
    <cellStyle name="Normal 8 3 2 2 6 2 4" xfId="22215" xr:uid="{B84E1E2E-B60C-4D04-B2C6-BC5786E8B1DB}"/>
    <cellStyle name="Normal 8 3 2 2 6 3" xfId="6514" xr:uid="{00000000-0005-0000-0000-0000561D0000}"/>
    <cellStyle name="Normal 8 3 2 2 6 3 2" xfId="15840" xr:uid="{7B16DAC1-BB70-4510-A223-2F555BD23767}"/>
    <cellStyle name="Normal 8 3 2 2 6 3 3" xfId="24287" xr:uid="{314E24B4-DBC0-4367-A227-2FE7D57C10A0}"/>
    <cellStyle name="Normal 8 3 2 2 6 4" xfId="11623" xr:uid="{115EF5B4-E7DE-46D7-8976-4437091290BB}"/>
    <cellStyle name="Normal 8 3 2 2 6 5" xfId="20070" xr:uid="{1D89138A-75F8-40AB-902D-46B3F488C5B1}"/>
    <cellStyle name="Normal 8 3 2 2 7" xfId="2644" xr:uid="{00000000-0005-0000-0000-0000571D0000}"/>
    <cellStyle name="Normal 8 3 2 2 7 2" xfId="6927" xr:uid="{00000000-0005-0000-0000-0000581D0000}"/>
    <cellStyle name="Normal 8 3 2 2 7 2 2" xfId="16253" xr:uid="{508E02E7-F84C-49BD-8741-FE4648D04991}"/>
    <cellStyle name="Normal 8 3 2 2 7 2 3" xfId="24700" xr:uid="{9E1A52E2-64BD-488A-818A-24E95C10A834}"/>
    <cellStyle name="Normal 8 3 2 2 7 3" xfId="12036" xr:uid="{2AEDA21B-37A9-4836-96EB-F893C6165058}"/>
    <cellStyle name="Normal 8 3 2 2 7 4" xfId="20483" xr:uid="{BC7F5EE7-00CD-407D-BEE9-6771169785FD}"/>
    <cellStyle name="Normal 8 3 2 2 8" xfId="4862" xr:uid="{00000000-0005-0000-0000-0000591D0000}"/>
    <cellStyle name="Normal 8 3 2 2 8 2" xfId="14188" xr:uid="{0903E7AA-03BC-4F44-8F90-67C010348741}"/>
    <cellStyle name="Normal 8 3 2 2 8 3" xfId="22635" xr:uid="{670DFA26-A6FC-45C2-8BD6-5C1F066474FC}"/>
    <cellStyle name="Normal 8 3 2 2 9" xfId="8940" xr:uid="{63944EF0-E10A-4406-A758-3BD135650136}"/>
    <cellStyle name="Normal 8 3 2 3" xfId="499" xr:uid="{00000000-0005-0000-0000-00005A1D0000}"/>
    <cellStyle name="Normal 8 3 2 3 10" xfId="18420" xr:uid="{6F1C9CEE-44AB-475B-9CAA-2A3856042162}"/>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964D2BF0-E4E6-4131-B4AD-12EBD1B6FDA8}"/>
    <cellStyle name="Normal 8 3 2 3 2 2 2 3" xfId="25195" xr:uid="{ADE98F1B-5610-420A-AC5C-1F2A4B5BFCF7}"/>
    <cellStyle name="Normal 8 3 2 3 2 2 3" xfId="12531" xr:uid="{1406EC0B-368E-4FFF-A1C4-20E18B6C805C}"/>
    <cellStyle name="Normal 8 3 2 3 2 2 4" xfId="20978" xr:uid="{66F9EE51-641F-4FC4-8DAD-ED936FF3F73F}"/>
    <cellStyle name="Normal 8 3 2 3 2 3" xfId="5277" xr:uid="{00000000-0005-0000-0000-00005E1D0000}"/>
    <cellStyle name="Normal 8 3 2 3 2 3 2" xfId="14603" xr:uid="{59ED4A07-D510-49F7-A38E-5B0F62114090}"/>
    <cellStyle name="Normal 8 3 2 3 2 3 3" xfId="23050" xr:uid="{3117C427-52D8-451B-B658-A5A91B14F731}"/>
    <cellStyle name="Normal 8 3 2 3 2 4" xfId="9469" xr:uid="{7CA6C380-A6E9-4AF4-A29A-E40C8E9B5B5F}"/>
    <cellStyle name="Normal 8 3 2 3 2 5" xfId="10386" xr:uid="{84FAED7E-54A0-476A-817C-27B3ABB1FE84}"/>
    <cellStyle name="Normal 8 3 2 3 2 6" xfId="18833" xr:uid="{3005550F-9796-4F17-831D-CB142E9E8664}"/>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C5C30C3D-8E73-4058-8A3E-0DBFE80BEBAC}"/>
    <cellStyle name="Normal 8 3 2 3 3 2 2 3" xfId="25608" xr:uid="{B8C8F9DC-04B5-41A2-9B06-35BC90A86B42}"/>
    <cellStyle name="Normal 8 3 2 3 3 2 3" xfId="12944" xr:uid="{E6E40B3F-12DE-4AF9-BAEB-ECE7A8110B77}"/>
    <cellStyle name="Normal 8 3 2 3 3 2 4" xfId="21391" xr:uid="{0CB58E1A-2C68-4314-A9C7-55B8FACA421C}"/>
    <cellStyle name="Normal 8 3 2 3 3 3" xfId="5690" xr:uid="{00000000-0005-0000-0000-0000621D0000}"/>
    <cellStyle name="Normal 8 3 2 3 3 3 2" xfId="15016" xr:uid="{2FA76E59-8D4C-4163-9840-55B6A07CB898}"/>
    <cellStyle name="Normal 8 3 2 3 3 3 3" xfId="23463" xr:uid="{328C8C31-E968-4D36-B3C2-93D8A2C43314}"/>
    <cellStyle name="Normal 8 3 2 3 3 4" xfId="10799" xr:uid="{0F1766B0-50A0-48D0-8203-FB55955563C6}"/>
    <cellStyle name="Normal 8 3 2 3 3 5" xfId="19246" xr:uid="{E62AD9D8-BF63-43C2-B859-F71178311F6B}"/>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0E70C716-1B08-4288-B5E4-6E1A317DB063}"/>
    <cellStyle name="Normal 8 3 2 3 4 2 2 3" xfId="26021" xr:uid="{A00367CF-2558-4BAC-B8C1-050F7EABC390}"/>
    <cellStyle name="Normal 8 3 2 3 4 2 3" xfId="13357" xr:uid="{01C9A101-8439-4BA2-939A-24A9D9770FB6}"/>
    <cellStyle name="Normal 8 3 2 3 4 2 4" xfId="21804" xr:uid="{EFC91320-81A9-4493-B4B0-71FD3BDCFFA5}"/>
    <cellStyle name="Normal 8 3 2 3 4 3" xfId="6103" xr:uid="{00000000-0005-0000-0000-0000661D0000}"/>
    <cellStyle name="Normal 8 3 2 3 4 3 2" xfId="15429" xr:uid="{5EA4AC0C-E2BC-48DF-92DA-07EDF07AA1F3}"/>
    <cellStyle name="Normal 8 3 2 3 4 3 3" xfId="23876" xr:uid="{F6C10C4E-0D13-4094-B470-FA2A9ED4ACDA}"/>
    <cellStyle name="Normal 8 3 2 3 4 4" xfId="11212" xr:uid="{66DD82C1-E4BC-478D-B148-A9A92C22B0BF}"/>
    <cellStyle name="Normal 8 3 2 3 4 5" xfId="19659" xr:uid="{E7B9BFDA-C375-4AA0-A38A-091A1514F964}"/>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4F98322C-C028-4E38-B3B3-75D7CAFE6177}"/>
    <cellStyle name="Normal 8 3 2 3 5 2 2 3" xfId="26434" xr:uid="{A7771B7F-BA3D-4BC3-B347-01685877B59A}"/>
    <cellStyle name="Normal 8 3 2 3 5 2 3" xfId="13770" xr:uid="{8170976E-3610-4229-94B1-BEDD24AD47CC}"/>
    <cellStyle name="Normal 8 3 2 3 5 2 4" xfId="22217" xr:uid="{CD83BE17-7DD8-408F-A912-B81A438D38EE}"/>
    <cellStyle name="Normal 8 3 2 3 5 3" xfId="6516" xr:uid="{00000000-0005-0000-0000-00006A1D0000}"/>
    <cellStyle name="Normal 8 3 2 3 5 3 2" xfId="15842" xr:uid="{824175F2-74FB-4850-9F6B-B89DB367785D}"/>
    <cellStyle name="Normal 8 3 2 3 5 3 3" xfId="24289" xr:uid="{5CEBB9B4-2F5E-458C-9EB4-A011460E931C}"/>
    <cellStyle name="Normal 8 3 2 3 5 4" xfId="11625" xr:uid="{336A8D10-B8B5-43E5-9B5B-472987AA04C9}"/>
    <cellStyle name="Normal 8 3 2 3 5 5" xfId="20072" xr:uid="{FA2B1BDF-1615-48C2-A93E-C2BF325AABA4}"/>
    <cellStyle name="Normal 8 3 2 3 6" xfId="2646" xr:uid="{00000000-0005-0000-0000-00006B1D0000}"/>
    <cellStyle name="Normal 8 3 2 3 6 2" xfId="6929" xr:uid="{00000000-0005-0000-0000-00006C1D0000}"/>
    <cellStyle name="Normal 8 3 2 3 6 2 2" xfId="16255" xr:uid="{6B5EF3BD-2C3D-4FAC-8E8C-069806DBD793}"/>
    <cellStyle name="Normal 8 3 2 3 6 2 3" xfId="24702" xr:uid="{57AC61FD-32FF-41C2-A11C-BEAB5C314ADA}"/>
    <cellStyle name="Normal 8 3 2 3 6 3" xfId="12038" xr:uid="{8E003D28-612B-43F7-91B2-B36E1640B723}"/>
    <cellStyle name="Normal 8 3 2 3 6 4" xfId="20485" xr:uid="{99630392-13C4-4A27-81F0-BD65E9600B9D}"/>
    <cellStyle name="Normal 8 3 2 3 7" xfId="4864" xr:uid="{00000000-0005-0000-0000-00006D1D0000}"/>
    <cellStyle name="Normal 8 3 2 3 7 2" xfId="14190" xr:uid="{BF37BF19-4B79-42A7-8F6F-B028EA7E2570}"/>
    <cellStyle name="Normal 8 3 2 3 7 3" xfId="22637" xr:uid="{57972252-26E3-48F7-9C33-865ACDCFD74F}"/>
    <cellStyle name="Normal 8 3 2 3 8" xfId="9044" xr:uid="{5ED49706-9CA9-4EE9-B01D-112CD1DB587C}"/>
    <cellStyle name="Normal 8 3 2 3 9" xfId="9973" xr:uid="{13B2AEAF-28CC-4204-BCD2-4380C3FB9A12}"/>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511AECE5-24C8-4562-90A0-675E842B1B3A}"/>
    <cellStyle name="Normal 8 3 2 4 2 2 3" xfId="25192" xr:uid="{0C9A4A3B-2DEC-4D2B-AB57-5ED94D4E236A}"/>
    <cellStyle name="Normal 8 3 2 4 2 3" xfId="12528" xr:uid="{E417EA92-8209-4F3D-BD4A-A50F2ED0568B}"/>
    <cellStyle name="Normal 8 3 2 4 2 4" xfId="20975" xr:uid="{30B42BCC-4DBE-4353-825A-9C9489A4DBA9}"/>
    <cellStyle name="Normal 8 3 2 4 3" xfId="5274" xr:uid="{00000000-0005-0000-0000-0000711D0000}"/>
    <cellStyle name="Normal 8 3 2 4 3 2" xfId="14600" xr:uid="{012D6CD4-230E-4C32-929E-CB53FC358274}"/>
    <cellStyle name="Normal 8 3 2 4 3 3" xfId="23047" xr:uid="{52E7754D-06FD-4C97-92E3-E08ACD062842}"/>
    <cellStyle name="Normal 8 3 2 4 4" xfId="9262" xr:uid="{8842595C-CD28-4B10-9BE6-37883B4C2AA9}"/>
    <cellStyle name="Normal 8 3 2 4 5" xfId="10383" xr:uid="{09D13459-5974-4851-B83E-3EBA4A62A243}"/>
    <cellStyle name="Normal 8 3 2 4 6" xfId="18830" xr:uid="{D346100B-ADDB-4459-B99F-91845ED6DAE0}"/>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BBAFD45E-59AA-436F-AA56-08A0EFF871C0}"/>
    <cellStyle name="Normal 8 3 2 5 2 2 3" xfId="25605" xr:uid="{74A63A8F-1331-481C-89DE-6C073C46FE16}"/>
    <cellStyle name="Normal 8 3 2 5 2 3" xfId="12941" xr:uid="{3CC77C32-B9EF-414B-9E77-E25A4D02D6C6}"/>
    <cellStyle name="Normal 8 3 2 5 2 4" xfId="21388" xr:uid="{F206E726-F33A-4692-BF0A-BA65B4967C3E}"/>
    <cellStyle name="Normal 8 3 2 5 3" xfId="5687" xr:uid="{00000000-0005-0000-0000-0000751D0000}"/>
    <cellStyle name="Normal 8 3 2 5 3 2" xfId="15013" xr:uid="{0BF96C18-07BA-459F-9F62-FABE023025D9}"/>
    <cellStyle name="Normal 8 3 2 5 3 3" xfId="23460" xr:uid="{991557B1-785E-4F53-BC04-06CC71134F45}"/>
    <cellStyle name="Normal 8 3 2 5 4" xfId="10796" xr:uid="{1735641F-2A1D-4958-ADC8-2A379D469878}"/>
    <cellStyle name="Normal 8 3 2 5 5" xfId="19243" xr:uid="{5AA1BF2D-7D9A-4D7C-8C54-9CBEEC70C045}"/>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BBB5D5AE-F73F-4F0F-87A4-944CFD6E1053}"/>
    <cellStyle name="Normal 8 3 2 6 2 2 3" xfId="26018" xr:uid="{42BA6C97-9C20-4351-BDE9-05FEA0BE588F}"/>
    <cellStyle name="Normal 8 3 2 6 2 3" xfId="13354" xr:uid="{B61DF017-25CE-4569-9E51-6F52CA04DB4C}"/>
    <cellStyle name="Normal 8 3 2 6 2 4" xfId="21801" xr:uid="{C6365FFF-B50D-465F-89D6-B6EC96799692}"/>
    <cellStyle name="Normal 8 3 2 6 3" xfId="6100" xr:uid="{00000000-0005-0000-0000-0000791D0000}"/>
    <cellStyle name="Normal 8 3 2 6 3 2" xfId="15426" xr:uid="{E155CA9C-8521-4D85-A3AB-DE070EA0E37E}"/>
    <cellStyle name="Normal 8 3 2 6 3 3" xfId="23873" xr:uid="{F2B1F1A6-2302-43CB-A346-EDAF727F91DD}"/>
    <cellStyle name="Normal 8 3 2 6 4" xfId="11209" xr:uid="{3E55F59A-ABCA-4D68-9076-19BAB91D8B57}"/>
    <cellStyle name="Normal 8 3 2 6 5" xfId="19656" xr:uid="{52560E42-7D59-4340-8C9B-6C1BAA7A9754}"/>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0582B913-2ACE-4B79-BDCC-635AE73EB144}"/>
    <cellStyle name="Normal 8 3 2 7 2 2 3" xfId="26431" xr:uid="{462E8F61-0AAE-4B2A-9C39-DCF07914F7A4}"/>
    <cellStyle name="Normal 8 3 2 7 2 3" xfId="13767" xr:uid="{9807FE9B-CC1A-404E-AA92-4FD7004512E7}"/>
    <cellStyle name="Normal 8 3 2 7 2 4" xfId="22214" xr:uid="{7F83FB41-0F9B-4B9D-B8F4-56A9365659D2}"/>
    <cellStyle name="Normal 8 3 2 7 3" xfId="6513" xr:uid="{00000000-0005-0000-0000-00007D1D0000}"/>
    <cellStyle name="Normal 8 3 2 7 3 2" xfId="15839" xr:uid="{D4D7FF55-9837-4DF3-A0BE-7F3CBE60F62E}"/>
    <cellStyle name="Normal 8 3 2 7 3 3" xfId="24286" xr:uid="{F3D2411C-9FD4-453A-A685-BB2D3BD97F83}"/>
    <cellStyle name="Normal 8 3 2 7 4" xfId="11622" xr:uid="{E30CE190-6E2C-4940-B286-5011FF07546B}"/>
    <cellStyle name="Normal 8 3 2 7 5" xfId="20069" xr:uid="{9C0B936C-E58E-4B5D-A8E6-2255FF8870D5}"/>
    <cellStyle name="Normal 8 3 2 8" xfId="2643" xr:uid="{00000000-0005-0000-0000-00007E1D0000}"/>
    <cellStyle name="Normal 8 3 2 8 2" xfId="6926" xr:uid="{00000000-0005-0000-0000-00007F1D0000}"/>
    <cellStyle name="Normal 8 3 2 8 2 2" xfId="16252" xr:uid="{6D9B59D1-48BF-4702-9E01-FC0870B037AA}"/>
    <cellStyle name="Normal 8 3 2 8 2 3" xfId="24699" xr:uid="{A7E607E3-08A4-4D42-B313-422873B19D68}"/>
    <cellStyle name="Normal 8 3 2 8 3" xfId="12035" xr:uid="{EAE1F037-85C2-4879-8E6D-FB51155CB440}"/>
    <cellStyle name="Normal 8 3 2 8 4" xfId="20482" xr:uid="{EC10E42D-DF49-4DAA-9962-4DABD3D5DA38}"/>
    <cellStyle name="Normal 8 3 2 9" xfId="4861" xr:uid="{00000000-0005-0000-0000-0000801D0000}"/>
    <cellStyle name="Normal 8 3 2 9 2" xfId="14187" xr:uid="{08077E9B-5F81-4724-959D-8231C1E75080}"/>
    <cellStyle name="Normal 8 3 2 9 3" xfId="22634" xr:uid="{9F06AC7E-CDA4-401E-82E7-87A1A1B15C40}"/>
    <cellStyle name="Normal 8 3 3" xfId="500" xr:uid="{00000000-0005-0000-0000-0000811D0000}"/>
    <cellStyle name="Normal 8 3 3 10" xfId="9974" xr:uid="{99D45C98-61B8-4540-881B-B0F593B6882B}"/>
    <cellStyle name="Normal 8 3 3 11" xfId="18421" xr:uid="{2FE6F78E-F1B8-40A4-8962-6FF29BEA751F}"/>
    <cellStyle name="Normal 8 3 3 2" xfId="501" xr:uid="{00000000-0005-0000-0000-0000821D0000}"/>
    <cellStyle name="Normal 8 3 3 2 10" xfId="18422" xr:uid="{9705ABCF-45BD-45CE-A5AF-4E22056A7325}"/>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411071FB-514E-41DE-BF94-0445A531ED82}"/>
    <cellStyle name="Normal 8 3 3 2 2 2 2 3" xfId="25197" xr:uid="{2089D921-388A-4BF3-8104-76CA0F312D16}"/>
    <cellStyle name="Normal 8 3 3 2 2 2 3" xfId="12533" xr:uid="{E0695D65-C543-4EA9-B031-B61A97D8BCBD}"/>
    <cellStyle name="Normal 8 3 3 2 2 2 4" xfId="20980" xr:uid="{890450ED-1E90-42B8-AC29-84D9BE9B0480}"/>
    <cellStyle name="Normal 8 3 3 2 2 3" xfId="5279" xr:uid="{00000000-0005-0000-0000-0000861D0000}"/>
    <cellStyle name="Normal 8 3 3 2 2 3 2" xfId="14605" xr:uid="{4A911A95-AF87-45CB-93AC-0C77A1AAE082}"/>
    <cellStyle name="Normal 8 3 3 2 2 3 3" xfId="23052" xr:uid="{EEA6DC57-4398-48AD-A112-91646CAA95FA}"/>
    <cellStyle name="Normal 8 3 3 2 2 4" xfId="9509" xr:uid="{3B4378D3-7C51-4B91-822B-758528BFF352}"/>
    <cellStyle name="Normal 8 3 3 2 2 5" xfId="10388" xr:uid="{E77B36B7-2152-4446-A1DF-6A8F2402E83F}"/>
    <cellStyle name="Normal 8 3 3 2 2 6" xfId="18835" xr:uid="{5F7DC8F5-7163-47BD-8EB7-E97E13D1DE6B}"/>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DB874BFB-59E3-433A-9FA9-518D211CBEC6}"/>
    <cellStyle name="Normal 8 3 3 2 3 2 2 3" xfId="25610" xr:uid="{30E332BB-9804-4679-B73C-AF9721CE169D}"/>
    <cellStyle name="Normal 8 3 3 2 3 2 3" xfId="12946" xr:uid="{37EBF601-BC1C-483C-B05E-01FC2122E502}"/>
    <cellStyle name="Normal 8 3 3 2 3 2 4" xfId="21393" xr:uid="{2FA25DC8-93D1-43D4-A679-4913687D1A68}"/>
    <cellStyle name="Normal 8 3 3 2 3 3" xfId="5692" xr:uid="{00000000-0005-0000-0000-00008A1D0000}"/>
    <cellStyle name="Normal 8 3 3 2 3 3 2" xfId="15018" xr:uid="{175FE974-A9D5-4713-BEBB-497E46C97A0E}"/>
    <cellStyle name="Normal 8 3 3 2 3 3 3" xfId="23465" xr:uid="{B63FC82B-59E9-4288-8D7F-519E8C942E51}"/>
    <cellStyle name="Normal 8 3 3 2 3 4" xfId="10801" xr:uid="{ADC56D55-992C-4476-B013-3FA21F21A261}"/>
    <cellStyle name="Normal 8 3 3 2 3 5" xfId="19248" xr:uid="{FA2F94F7-28BC-4787-BBA8-E5C379BAEB5C}"/>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712A4960-3A24-4AF6-B8D9-B60E5BC445E4}"/>
    <cellStyle name="Normal 8 3 3 2 4 2 2 3" xfId="26023" xr:uid="{146F711F-C643-4724-B5EF-DC6117D6E4C8}"/>
    <cellStyle name="Normal 8 3 3 2 4 2 3" xfId="13359" xr:uid="{9093B0A7-B360-4FE2-97A4-C1AAA2A5F594}"/>
    <cellStyle name="Normal 8 3 3 2 4 2 4" xfId="21806" xr:uid="{A98B59A6-B4E7-43A5-BE50-7FC669EE027E}"/>
    <cellStyle name="Normal 8 3 3 2 4 3" xfId="6105" xr:uid="{00000000-0005-0000-0000-00008E1D0000}"/>
    <cellStyle name="Normal 8 3 3 2 4 3 2" xfId="15431" xr:uid="{601882A7-FAD1-4654-8CEE-9660CAE0D446}"/>
    <cellStyle name="Normal 8 3 3 2 4 3 3" xfId="23878" xr:uid="{C831715E-D33A-49F5-9B44-CE582596F683}"/>
    <cellStyle name="Normal 8 3 3 2 4 4" xfId="11214" xr:uid="{A092774D-024A-48CA-98C5-7FAFAF81CB76}"/>
    <cellStyle name="Normal 8 3 3 2 4 5" xfId="19661" xr:uid="{410CA04E-067C-4F1C-A38E-73B3A7A40CA3}"/>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9DF4C46A-0B7A-4F8D-97CA-CE54287C57C9}"/>
    <cellStyle name="Normal 8 3 3 2 5 2 2 3" xfId="26436" xr:uid="{2516E7A2-4EFE-47F2-A43B-EF559321A5E7}"/>
    <cellStyle name="Normal 8 3 3 2 5 2 3" xfId="13772" xr:uid="{A37208D9-965D-470F-ABA9-F72166F35B35}"/>
    <cellStyle name="Normal 8 3 3 2 5 2 4" xfId="22219" xr:uid="{DC0B2213-FB4A-4313-A7DE-491C5D6C3C27}"/>
    <cellStyle name="Normal 8 3 3 2 5 3" xfId="6518" xr:uid="{00000000-0005-0000-0000-0000921D0000}"/>
    <cellStyle name="Normal 8 3 3 2 5 3 2" xfId="15844" xr:uid="{479CA8F0-AB26-4B13-97CC-86DBF37C5CD1}"/>
    <cellStyle name="Normal 8 3 3 2 5 3 3" xfId="24291" xr:uid="{BAEA072B-5FD6-422B-929C-513C79E77482}"/>
    <cellStyle name="Normal 8 3 3 2 5 4" xfId="11627" xr:uid="{9727E4C9-C03E-4E0B-A925-E66B3EFB9C0F}"/>
    <cellStyle name="Normal 8 3 3 2 5 5" xfId="20074" xr:uid="{7571D1B4-F9A4-4182-B719-EB750D77A0FB}"/>
    <cellStyle name="Normal 8 3 3 2 6" xfId="2648" xr:uid="{00000000-0005-0000-0000-0000931D0000}"/>
    <cellStyle name="Normal 8 3 3 2 6 2" xfId="6931" xr:uid="{00000000-0005-0000-0000-0000941D0000}"/>
    <cellStyle name="Normal 8 3 3 2 6 2 2" xfId="16257" xr:uid="{43750705-5717-486D-8099-2AF061AA3F62}"/>
    <cellStyle name="Normal 8 3 3 2 6 2 3" xfId="24704" xr:uid="{B1D53088-C754-4949-96F4-63F919D3ACC8}"/>
    <cellStyle name="Normal 8 3 3 2 6 3" xfId="12040" xr:uid="{807E9597-29B0-457E-BFEC-D0AD00D892C5}"/>
    <cellStyle name="Normal 8 3 3 2 6 4" xfId="20487" xr:uid="{2600DF7D-8874-4C68-92E1-33C0E94F733E}"/>
    <cellStyle name="Normal 8 3 3 2 7" xfId="4866" xr:uid="{00000000-0005-0000-0000-0000951D0000}"/>
    <cellStyle name="Normal 8 3 3 2 7 2" xfId="14192" xr:uid="{61FF5FA7-6856-48A8-8760-2BF7E888DDEC}"/>
    <cellStyle name="Normal 8 3 3 2 7 3" xfId="22639" xr:uid="{047CA9E6-2D14-4612-BB45-40E9CB36F363}"/>
    <cellStyle name="Normal 8 3 3 2 8" xfId="9084" xr:uid="{94243AB7-0454-4C95-8E94-054E46718167}"/>
    <cellStyle name="Normal 8 3 3 2 9" xfId="9975" xr:uid="{C575F191-FF42-4636-B70C-F117D7B36B21}"/>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357026B7-4CBE-4C19-B251-9EE976ECC4EA}"/>
    <cellStyle name="Normal 8 3 3 3 2 2 3" xfId="25196" xr:uid="{5C50E5DB-FC25-436C-9193-1DF059CF9B84}"/>
    <cellStyle name="Normal 8 3 3 3 2 3" xfId="12532" xr:uid="{DB60B876-E9F2-4B3F-A152-7C1BD2D8DB00}"/>
    <cellStyle name="Normal 8 3 3 3 2 4" xfId="20979" xr:uid="{A6E05D75-1733-4D5C-BDD7-9CC6DED577DE}"/>
    <cellStyle name="Normal 8 3 3 3 3" xfId="5278" xr:uid="{00000000-0005-0000-0000-0000991D0000}"/>
    <cellStyle name="Normal 8 3 3 3 3 2" xfId="14604" xr:uid="{7AF2393C-AFFE-41EA-81CF-C14659FAD04B}"/>
    <cellStyle name="Normal 8 3 3 3 3 3" xfId="23051" xr:uid="{5B9634CB-F317-44FA-8717-1089AD953006}"/>
    <cellStyle name="Normal 8 3 3 3 4" xfId="9302" xr:uid="{3985B908-2B56-4F9B-BEA3-8962926FD004}"/>
    <cellStyle name="Normal 8 3 3 3 5" xfId="10387" xr:uid="{0F6FFD13-9985-446E-B037-D847258FCF6D}"/>
    <cellStyle name="Normal 8 3 3 3 6" xfId="18834" xr:uid="{FF04848E-BABE-4FBF-97DE-7976199A85CB}"/>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19DBA6B1-B411-4271-95DE-D87A2D62F2B4}"/>
    <cellStyle name="Normal 8 3 3 4 2 2 3" xfId="25609" xr:uid="{2CFDAB6B-697E-479C-8DA6-46060D243E61}"/>
    <cellStyle name="Normal 8 3 3 4 2 3" xfId="12945" xr:uid="{79F02F02-2727-42E6-A293-F7C62921EC73}"/>
    <cellStyle name="Normal 8 3 3 4 2 4" xfId="21392" xr:uid="{16819C4C-53BF-459F-8C58-E0EEEA370A74}"/>
    <cellStyle name="Normal 8 3 3 4 3" xfId="5691" xr:uid="{00000000-0005-0000-0000-00009D1D0000}"/>
    <cellStyle name="Normal 8 3 3 4 3 2" xfId="15017" xr:uid="{ABB534A2-CE76-47AA-9E5E-B97C9DCB56E9}"/>
    <cellStyle name="Normal 8 3 3 4 3 3" xfId="23464" xr:uid="{84D468A0-B3E5-4991-91E1-A77653CB3AD2}"/>
    <cellStyle name="Normal 8 3 3 4 4" xfId="10800" xr:uid="{95F2C910-7088-401F-BD74-D5D329B0280B}"/>
    <cellStyle name="Normal 8 3 3 4 5" xfId="19247" xr:uid="{39711DA5-350D-4294-857E-FAC443B2AB2D}"/>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9D11C010-DA68-4E4E-A140-CDBFFB571C02}"/>
    <cellStyle name="Normal 8 3 3 5 2 2 3" xfId="26022" xr:uid="{7402CF7A-466C-4517-A9F7-9B6B5FDC75D6}"/>
    <cellStyle name="Normal 8 3 3 5 2 3" xfId="13358" xr:uid="{534AF112-3952-4E9D-831D-B0EBAA73546C}"/>
    <cellStyle name="Normal 8 3 3 5 2 4" xfId="21805" xr:uid="{B121F661-E416-4DA2-A105-A1F598059250}"/>
    <cellStyle name="Normal 8 3 3 5 3" xfId="6104" xr:uid="{00000000-0005-0000-0000-0000A11D0000}"/>
    <cellStyle name="Normal 8 3 3 5 3 2" xfId="15430" xr:uid="{E5EBE686-1B87-46F2-A70C-AFC06C1FBB9C}"/>
    <cellStyle name="Normal 8 3 3 5 3 3" xfId="23877" xr:uid="{D0D12E19-5E03-4BED-8B4F-2330DE4D2CD1}"/>
    <cellStyle name="Normal 8 3 3 5 4" xfId="11213" xr:uid="{184A8918-E76F-45C3-B95E-DB984A0016CB}"/>
    <cellStyle name="Normal 8 3 3 5 5" xfId="19660" xr:uid="{2C6A6313-BF89-42F3-84E0-81BFCB46BA9F}"/>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45D3F746-3A64-4321-8FAB-6FF854CE96EA}"/>
    <cellStyle name="Normal 8 3 3 6 2 2 3" xfId="26435" xr:uid="{E3DDDA88-BF78-4767-9480-782449B2F8F6}"/>
    <cellStyle name="Normal 8 3 3 6 2 3" xfId="13771" xr:uid="{6FE277C1-339C-4B51-A747-3E22EB998ED9}"/>
    <cellStyle name="Normal 8 3 3 6 2 4" xfId="22218" xr:uid="{F7CE65D4-9090-4FD9-A158-8211EB29DB9E}"/>
    <cellStyle name="Normal 8 3 3 6 3" xfId="6517" xr:uid="{00000000-0005-0000-0000-0000A51D0000}"/>
    <cellStyle name="Normal 8 3 3 6 3 2" xfId="15843" xr:uid="{BD52475E-B1B4-44D3-841B-0F1B5FD66D43}"/>
    <cellStyle name="Normal 8 3 3 6 3 3" xfId="24290" xr:uid="{E0F41BC2-9CCB-4146-BF21-F70C8DCE4FE1}"/>
    <cellStyle name="Normal 8 3 3 6 4" xfId="11626" xr:uid="{AF12B490-F357-4F76-B5B4-CB6FF77875FA}"/>
    <cellStyle name="Normal 8 3 3 6 5" xfId="20073" xr:uid="{8ACC3C3B-FA3D-45EB-B406-4F43176E7854}"/>
    <cellStyle name="Normal 8 3 3 7" xfId="2647" xr:uid="{00000000-0005-0000-0000-0000A61D0000}"/>
    <cellStyle name="Normal 8 3 3 7 2" xfId="6930" xr:uid="{00000000-0005-0000-0000-0000A71D0000}"/>
    <cellStyle name="Normal 8 3 3 7 2 2" xfId="16256" xr:uid="{436DCC75-E8EC-4652-8D1D-4CED239CCB3E}"/>
    <cellStyle name="Normal 8 3 3 7 2 3" xfId="24703" xr:uid="{4428B3EF-E4D3-47F7-9AD5-FE99E60DD60C}"/>
    <cellStyle name="Normal 8 3 3 7 3" xfId="12039" xr:uid="{142E26BB-4E43-4EB5-A65C-9B562E824FE9}"/>
    <cellStyle name="Normal 8 3 3 7 4" xfId="20486" xr:uid="{68A3E293-F058-48C8-B2FB-B2F9619D1E7F}"/>
    <cellStyle name="Normal 8 3 3 8" xfId="4865" xr:uid="{00000000-0005-0000-0000-0000A81D0000}"/>
    <cellStyle name="Normal 8 3 3 8 2" xfId="14191" xr:uid="{91936B3A-CC1F-4D48-81CB-D51201BA1971}"/>
    <cellStyle name="Normal 8 3 3 8 3" xfId="22638" xr:uid="{61DBFB3D-E86D-48CA-AFCA-84CEADD13920}"/>
    <cellStyle name="Normal 8 3 3 9" xfId="8877" xr:uid="{4F8231E3-800E-43E7-B1B6-9633EBFFFFE1}"/>
    <cellStyle name="Normal 8 3 4" xfId="502" xr:uid="{00000000-0005-0000-0000-0000A91D0000}"/>
    <cellStyle name="Normal 8 3 4 10" xfId="18423" xr:uid="{127B8BF4-E286-47D5-B9A7-5FB4536F57D4}"/>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C2C84088-9D75-4986-B5FC-DB1216559C8F}"/>
    <cellStyle name="Normal 8 3 4 2 2 2 3" xfId="25198" xr:uid="{5AB361BC-B96C-414C-8B63-8918AEA93BFF}"/>
    <cellStyle name="Normal 8 3 4 2 2 3" xfId="12534" xr:uid="{20CE6BBB-9FF8-465D-8F45-2C4F31DDD32A}"/>
    <cellStyle name="Normal 8 3 4 2 2 4" xfId="20981" xr:uid="{D00BDF70-4436-4B9B-8C85-13AE8E49EFED}"/>
    <cellStyle name="Normal 8 3 4 2 3" xfId="5280" xr:uid="{00000000-0005-0000-0000-0000AD1D0000}"/>
    <cellStyle name="Normal 8 3 4 2 3 2" xfId="14606" xr:uid="{B5BAEA76-5BC8-4458-8074-965EEF986DA4}"/>
    <cellStyle name="Normal 8 3 4 2 3 3" xfId="23053" xr:uid="{8F9BD609-7EC6-4457-9B6A-1D33155FA6EE}"/>
    <cellStyle name="Normal 8 3 4 2 4" xfId="9406" xr:uid="{8751BE45-E47B-4A0A-B0DE-04C14FAEA88D}"/>
    <cellStyle name="Normal 8 3 4 2 5" xfId="10389" xr:uid="{274AB5DD-2EE3-4F1B-B99D-B54F5B7D8058}"/>
    <cellStyle name="Normal 8 3 4 2 6" xfId="18836" xr:uid="{27E5494D-49DE-45F9-B9F9-EB5D273BDDF9}"/>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AE4522AF-04AA-4408-B93F-413B1387763D}"/>
    <cellStyle name="Normal 8 3 4 3 2 2 3" xfId="25611" xr:uid="{40937D5E-BA61-4613-9311-72865E7ADA73}"/>
    <cellStyle name="Normal 8 3 4 3 2 3" xfId="12947" xr:uid="{855DDDA4-D681-4783-80E3-1AE3D1EDB6B2}"/>
    <cellStyle name="Normal 8 3 4 3 2 4" xfId="21394" xr:uid="{DAF2CAB4-57E3-41CE-A254-C59AA10FD3F2}"/>
    <cellStyle name="Normal 8 3 4 3 3" xfId="5693" xr:uid="{00000000-0005-0000-0000-0000B11D0000}"/>
    <cellStyle name="Normal 8 3 4 3 3 2" xfId="15019" xr:uid="{E98BFAB5-8CB4-436A-A0E3-44C728C0FD76}"/>
    <cellStyle name="Normal 8 3 4 3 3 3" xfId="23466" xr:uid="{4023490D-A3D5-47FE-A1A6-1049CD8FBF39}"/>
    <cellStyle name="Normal 8 3 4 3 4" xfId="10802" xr:uid="{F06C1682-8900-4F6B-94C6-BBAABE586CED}"/>
    <cellStyle name="Normal 8 3 4 3 5" xfId="19249" xr:uid="{19A4BD55-4EC5-4866-A769-7045FC9B8E45}"/>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2AEB0B92-070B-4AB3-A052-87D1006BE885}"/>
    <cellStyle name="Normal 8 3 4 4 2 2 3" xfId="26024" xr:uid="{AC14BEBC-161B-4D1E-A8EC-E2AEEE649EEC}"/>
    <cellStyle name="Normal 8 3 4 4 2 3" xfId="13360" xr:uid="{4A6591DA-7F1C-4F6D-B90F-57BE70E444D6}"/>
    <cellStyle name="Normal 8 3 4 4 2 4" xfId="21807" xr:uid="{E18CC51C-F029-492E-B7F4-5BD659ABE5B2}"/>
    <cellStyle name="Normal 8 3 4 4 3" xfId="6106" xr:uid="{00000000-0005-0000-0000-0000B51D0000}"/>
    <cellStyle name="Normal 8 3 4 4 3 2" xfId="15432" xr:uid="{508B2410-71CB-4109-BD4A-53EA384B129E}"/>
    <cellStyle name="Normal 8 3 4 4 3 3" xfId="23879" xr:uid="{A24307AD-9617-48C8-9041-F202C25D101F}"/>
    <cellStyle name="Normal 8 3 4 4 4" xfId="11215" xr:uid="{D3F7909F-154F-48D8-91EE-F689941B20C4}"/>
    <cellStyle name="Normal 8 3 4 4 5" xfId="19662" xr:uid="{309DB924-FD2B-45A9-8F27-DDD4AEC931EE}"/>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ECF2C6FD-C43E-4E69-BC4C-1163AC557C94}"/>
    <cellStyle name="Normal 8 3 4 5 2 2 3" xfId="26437" xr:uid="{E592A503-D79C-446D-8961-7B85A50B164C}"/>
    <cellStyle name="Normal 8 3 4 5 2 3" xfId="13773" xr:uid="{D2B676CD-8493-4482-9BA4-27E79E8D6B78}"/>
    <cellStyle name="Normal 8 3 4 5 2 4" xfId="22220" xr:uid="{634929D3-8FC7-4D27-A894-6E32D5A5AD08}"/>
    <cellStyle name="Normal 8 3 4 5 3" xfId="6519" xr:uid="{00000000-0005-0000-0000-0000B91D0000}"/>
    <cellStyle name="Normal 8 3 4 5 3 2" xfId="15845" xr:uid="{3334D9E6-8DB7-4588-B880-22C3510254EA}"/>
    <cellStyle name="Normal 8 3 4 5 3 3" xfId="24292" xr:uid="{2296AE35-3A6F-4C36-8EDC-BD79B043EA16}"/>
    <cellStyle name="Normal 8 3 4 5 4" xfId="11628" xr:uid="{42E7A3DF-F315-48C8-8088-75D7A96D61C8}"/>
    <cellStyle name="Normal 8 3 4 5 5" xfId="20075" xr:uid="{24B25D99-5CF8-4D36-ADC6-7C74D25CBA29}"/>
    <cellStyle name="Normal 8 3 4 6" xfId="2649" xr:uid="{00000000-0005-0000-0000-0000BA1D0000}"/>
    <cellStyle name="Normal 8 3 4 6 2" xfId="6932" xr:uid="{00000000-0005-0000-0000-0000BB1D0000}"/>
    <cellStyle name="Normal 8 3 4 6 2 2" xfId="16258" xr:uid="{A42AF616-C61B-49B8-AF7D-50F961D08EE4}"/>
    <cellStyle name="Normal 8 3 4 6 2 3" xfId="24705" xr:uid="{628F01EA-4CDF-40A8-BB10-309F77BEA7F7}"/>
    <cellStyle name="Normal 8 3 4 6 3" xfId="12041" xr:uid="{240E333E-21A5-4836-A69C-A4D598CD3F17}"/>
    <cellStyle name="Normal 8 3 4 6 4" xfId="20488" xr:uid="{6A28B67D-3CA1-4C9F-BA1A-DE0E7BDAAB0B}"/>
    <cellStyle name="Normal 8 3 4 7" xfId="4867" xr:uid="{00000000-0005-0000-0000-0000BC1D0000}"/>
    <cellStyle name="Normal 8 3 4 7 2" xfId="14193" xr:uid="{09EFB856-F2FE-4E06-91A3-58B1076E8539}"/>
    <cellStyle name="Normal 8 3 4 7 3" xfId="22640" xr:uid="{55FF3AC2-EFFB-4EF0-819B-D6AB13F47AEC}"/>
    <cellStyle name="Normal 8 3 4 8" xfId="8981" xr:uid="{BEE184E9-ECE6-4107-B29A-CC8BC7F28FA3}"/>
    <cellStyle name="Normal 8 3 4 9" xfId="9976" xr:uid="{A957E6DE-26BD-4F39-8584-CA3A7E619BFE}"/>
    <cellStyle name="Normal 8 3 5" xfId="962" xr:uid="{00000000-0005-0000-0000-0000BD1D0000}"/>
    <cellStyle name="Normal 8 3 5 2" xfId="3196" xr:uid="{00000000-0005-0000-0000-0000BE1D0000}"/>
    <cellStyle name="Normal 8 3 5 2 2" xfId="7418" xr:uid="{00000000-0005-0000-0000-0000BF1D0000}"/>
    <cellStyle name="Normal 8 3 5 2 2 2" xfId="16744" xr:uid="{96097FA0-45D2-4683-B5BA-6D42094463AD}"/>
    <cellStyle name="Normal 8 3 5 2 2 3" xfId="25191" xr:uid="{59E12BBC-B6E5-4C05-A689-9F96EF074E79}"/>
    <cellStyle name="Normal 8 3 5 2 3" xfId="12527" xr:uid="{3B9D8F7C-9CAF-47E1-87ED-9FBEC0D4DE54}"/>
    <cellStyle name="Normal 8 3 5 2 4" xfId="20974" xr:uid="{6E0C448E-81A3-4546-ABC5-EA65B39414CD}"/>
    <cellStyle name="Normal 8 3 5 3" xfId="5273" xr:uid="{00000000-0005-0000-0000-0000C01D0000}"/>
    <cellStyle name="Normal 8 3 5 3 2" xfId="14599" xr:uid="{B8A80201-757A-4AE9-90F0-E89FCDA9A50E}"/>
    <cellStyle name="Normal 8 3 5 3 3" xfId="23046" xr:uid="{12513D41-918A-4CE9-8408-CE2B3BEAFABF}"/>
    <cellStyle name="Normal 8 3 5 4" xfId="9198" xr:uid="{FA5A5C79-C3AC-4E17-9344-90C4E411EE0B}"/>
    <cellStyle name="Normal 8 3 5 5" xfId="10382" xr:uid="{D96BCA06-0A38-4701-BD75-BC7358D56144}"/>
    <cellStyle name="Normal 8 3 5 6" xfId="18829" xr:uid="{51FFFD51-C334-4ECA-8FBA-21B95BC8A209}"/>
    <cellStyle name="Normal 8 3 6" xfId="1379" xr:uid="{00000000-0005-0000-0000-0000C11D0000}"/>
    <cellStyle name="Normal 8 3 6 2" xfId="3609" xr:uid="{00000000-0005-0000-0000-0000C21D0000}"/>
    <cellStyle name="Normal 8 3 6 2 2" xfId="7831" xr:uid="{00000000-0005-0000-0000-0000C31D0000}"/>
    <cellStyle name="Normal 8 3 6 2 2 2" xfId="17157" xr:uid="{2E54BA4E-A74E-456E-8091-2C6AD1362B36}"/>
    <cellStyle name="Normal 8 3 6 2 2 3" xfId="25604" xr:uid="{B501C4A8-01F9-4AF5-BD27-569BEA7735AB}"/>
    <cellStyle name="Normal 8 3 6 2 3" xfId="12940" xr:uid="{BB56303E-0A23-45AE-BDC5-E9E8C68CC0FB}"/>
    <cellStyle name="Normal 8 3 6 2 4" xfId="21387" xr:uid="{F75FAD38-FC1D-45A2-A96F-14C32014FD1C}"/>
    <cellStyle name="Normal 8 3 6 3" xfId="5686" xr:uid="{00000000-0005-0000-0000-0000C41D0000}"/>
    <cellStyle name="Normal 8 3 6 3 2" xfId="15012" xr:uid="{67DFB0FF-CAE9-4AA0-B860-A8D2391847E3}"/>
    <cellStyle name="Normal 8 3 6 3 3" xfId="23459" xr:uid="{D98B0F4D-CD04-41CB-8C25-B4C9C2C8F0CA}"/>
    <cellStyle name="Normal 8 3 6 4" xfId="10795" xr:uid="{AC218353-16BC-4B4F-9372-623FB19B43C2}"/>
    <cellStyle name="Normal 8 3 6 5" xfId="19242" xr:uid="{E94B18D6-A04D-436A-8093-93D14020AD55}"/>
    <cellStyle name="Normal 8 3 7" xfId="1792" xr:uid="{00000000-0005-0000-0000-0000C51D0000}"/>
    <cellStyle name="Normal 8 3 7 2" xfId="4022" xr:uid="{00000000-0005-0000-0000-0000C61D0000}"/>
    <cellStyle name="Normal 8 3 7 2 2" xfId="8244" xr:uid="{00000000-0005-0000-0000-0000C71D0000}"/>
    <cellStyle name="Normal 8 3 7 2 2 2" xfId="17570" xr:uid="{7256058C-8902-4A3E-B383-C2930501D193}"/>
    <cellStyle name="Normal 8 3 7 2 2 3" xfId="26017" xr:uid="{1AEDAD3C-51E8-47A8-8229-E593B2A5DE8C}"/>
    <cellStyle name="Normal 8 3 7 2 3" xfId="13353" xr:uid="{3F3D038E-A475-4CFB-B9ED-3E49C9089E6A}"/>
    <cellStyle name="Normal 8 3 7 2 4" xfId="21800" xr:uid="{4E7FF771-54E5-43A0-925B-6DAF6D803902}"/>
    <cellStyle name="Normal 8 3 7 3" xfId="6099" xr:uid="{00000000-0005-0000-0000-0000C81D0000}"/>
    <cellStyle name="Normal 8 3 7 3 2" xfId="15425" xr:uid="{416CB304-FC2D-45DE-8DD1-C28E9D8200FC}"/>
    <cellStyle name="Normal 8 3 7 3 3" xfId="23872" xr:uid="{2A556482-7AE2-49A7-91FD-9F41A32C7640}"/>
    <cellStyle name="Normal 8 3 7 4" xfId="11208" xr:uid="{982E2F3D-B9A2-43E6-8051-CD89ACDCF65E}"/>
    <cellStyle name="Normal 8 3 7 5" xfId="19655" xr:uid="{8414E00F-EE0D-4D41-A386-B3C6A4E491DF}"/>
    <cellStyle name="Normal 8 3 8" xfId="2206" xr:uid="{00000000-0005-0000-0000-0000C91D0000}"/>
    <cellStyle name="Normal 8 3 8 2" xfId="4435" xr:uid="{00000000-0005-0000-0000-0000CA1D0000}"/>
    <cellStyle name="Normal 8 3 8 2 2" xfId="8657" xr:uid="{00000000-0005-0000-0000-0000CB1D0000}"/>
    <cellStyle name="Normal 8 3 8 2 2 2" xfId="17983" xr:uid="{D10F6019-0DE1-4522-83BB-685C84880472}"/>
    <cellStyle name="Normal 8 3 8 2 2 3" xfId="26430" xr:uid="{6185CD79-75A6-4DAA-AF4F-FDC7A1C16CA4}"/>
    <cellStyle name="Normal 8 3 8 2 3" xfId="13766" xr:uid="{6A5B60CA-C9FB-4C3D-BBCA-B16CAC5422F8}"/>
    <cellStyle name="Normal 8 3 8 2 4" xfId="22213" xr:uid="{09007238-36A0-4862-8F44-250C377142AB}"/>
    <cellStyle name="Normal 8 3 8 3" xfId="6512" xr:uid="{00000000-0005-0000-0000-0000CC1D0000}"/>
    <cellStyle name="Normal 8 3 8 3 2" xfId="15838" xr:uid="{FB37A0B9-501A-4F56-A942-ED6714239A71}"/>
    <cellStyle name="Normal 8 3 8 3 3" xfId="24285" xr:uid="{48AA7C9D-AB12-4078-91FB-3EDE32ACBD13}"/>
    <cellStyle name="Normal 8 3 8 4" xfId="11621" xr:uid="{CF2ABB78-3815-496C-B887-5EB6199DA17B}"/>
    <cellStyle name="Normal 8 3 8 5" xfId="20068" xr:uid="{C8D5052E-41B9-4AA6-BC0F-4A344E1C12CA}"/>
    <cellStyle name="Normal 8 3 9" xfId="2642" xr:uid="{00000000-0005-0000-0000-0000CD1D0000}"/>
    <cellStyle name="Normal 8 3 9 2" xfId="6925" xr:uid="{00000000-0005-0000-0000-0000CE1D0000}"/>
    <cellStyle name="Normal 8 3 9 2 2" xfId="16251" xr:uid="{93D3E4D6-F6A0-415B-BB16-58102DCE03DF}"/>
    <cellStyle name="Normal 8 3 9 2 3" xfId="24698" xr:uid="{1A3EE0F3-D37D-48D7-9BD8-ADFB48820C8A}"/>
    <cellStyle name="Normal 8 3 9 3" xfId="12034" xr:uid="{DDEC08B3-702C-4D5B-819A-C359E956409D}"/>
    <cellStyle name="Normal 8 3 9 4" xfId="20481" xr:uid="{E6385505-F5FA-4563-BC18-CC8B40C28376}"/>
    <cellStyle name="Normal 8 4" xfId="503" xr:uid="{00000000-0005-0000-0000-0000CF1D0000}"/>
    <cellStyle name="Normal 8 4 10" xfId="8834" xr:uid="{78848A4E-06FA-4050-B553-A3A7DEA1B047}"/>
    <cellStyle name="Normal 8 4 11" xfId="9977" xr:uid="{BC4041F6-064F-4CAE-AF33-628D9EEE0517}"/>
    <cellStyle name="Normal 8 4 12" xfId="18424" xr:uid="{2A3DD895-E9B3-42F2-BF85-766BF451E30A}"/>
    <cellStyle name="Normal 8 4 2" xfId="504" xr:uid="{00000000-0005-0000-0000-0000D01D0000}"/>
    <cellStyle name="Normal 8 4 2 10" xfId="9978" xr:uid="{80750A61-9CB0-46AA-B210-87F48C7A6485}"/>
    <cellStyle name="Normal 8 4 2 11" xfId="18425" xr:uid="{3B56BC7A-6C33-4020-B4F0-369AEBE011FD}"/>
    <cellStyle name="Normal 8 4 2 2" xfId="505" xr:uid="{00000000-0005-0000-0000-0000D11D0000}"/>
    <cellStyle name="Normal 8 4 2 2 10" xfId="18426" xr:uid="{C32FE340-CED9-47FA-AFCF-B4D1CFBFA8D1}"/>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6433D2EF-437F-411B-9F68-8DE1BEC58D24}"/>
    <cellStyle name="Normal 8 4 2 2 2 2 2 3" xfId="25201" xr:uid="{5D661E87-95EF-46C9-A4D5-9122DB948D0A}"/>
    <cellStyle name="Normal 8 4 2 2 2 2 3" xfId="12537" xr:uid="{5C04896B-9EBF-4B43-A9DE-0448419EE681}"/>
    <cellStyle name="Normal 8 4 2 2 2 2 4" xfId="20984" xr:uid="{160EAFA7-01FB-40A9-AE83-1DEEF81E36E3}"/>
    <cellStyle name="Normal 8 4 2 2 2 3" xfId="5283" xr:uid="{00000000-0005-0000-0000-0000D51D0000}"/>
    <cellStyle name="Normal 8 4 2 2 2 3 2" xfId="14609" xr:uid="{B45008F3-8650-4554-96D6-950449D95E37}"/>
    <cellStyle name="Normal 8 4 2 2 2 3 3" xfId="23056" xr:uid="{3FD5DCFA-2B33-457B-B36A-192288430AE0}"/>
    <cellStyle name="Normal 8 4 2 2 2 4" xfId="9569" xr:uid="{F21122F8-27BB-4D46-891E-281F736F5353}"/>
    <cellStyle name="Normal 8 4 2 2 2 5" xfId="10392" xr:uid="{F4C5C1E4-E0BB-4DD5-A088-381EE49BE654}"/>
    <cellStyle name="Normal 8 4 2 2 2 6" xfId="18839" xr:uid="{A4E9286B-CE15-412A-99BD-CCBEF59B179A}"/>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0CE41016-F863-4C90-AAFD-19DFD9704FEC}"/>
    <cellStyle name="Normal 8 4 2 2 3 2 2 3" xfId="25614" xr:uid="{8497F751-CDFA-48B3-85BB-C5A53A244B8D}"/>
    <cellStyle name="Normal 8 4 2 2 3 2 3" xfId="12950" xr:uid="{7D7A2F1A-99F3-4470-9A8B-9B2E5494FC21}"/>
    <cellStyle name="Normal 8 4 2 2 3 2 4" xfId="21397" xr:uid="{52B7C4A9-E98E-4467-B2E1-7C89B4D97B3A}"/>
    <cellStyle name="Normal 8 4 2 2 3 3" xfId="5696" xr:uid="{00000000-0005-0000-0000-0000D91D0000}"/>
    <cellStyle name="Normal 8 4 2 2 3 3 2" xfId="15022" xr:uid="{298E5D16-4108-4849-A3C0-8882AC0D3949}"/>
    <cellStyle name="Normal 8 4 2 2 3 3 3" xfId="23469" xr:uid="{D65E3D05-222E-417D-B8FA-29A01D2F180F}"/>
    <cellStyle name="Normal 8 4 2 2 3 4" xfId="10805" xr:uid="{17459D1D-5F62-49D2-8557-BF99AEEF8D51}"/>
    <cellStyle name="Normal 8 4 2 2 3 5" xfId="19252" xr:uid="{46B4401F-1211-44BB-B636-9FD967F8519A}"/>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CF4984EC-2288-47F7-823A-4D0E76B8B149}"/>
    <cellStyle name="Normal 8 4 2 2 4 2 2 3" xfId="26027" xr:uid="{57859691-2712-4EF0-B955-F648C2F1D6B5}"/>
    <cellStyle name="Normal 8 4 2 2 4 2 3" xfId="13363" xr:uid="{F883DDE8-F308-466F-9A89-C6090487E971}"/>
    <cellStyle name="Normal 8 4 2 2 4 2 4" xfId="21810" xr:uid="{E2F12EAB-00CD-4BF4-876A-32755D0E13CB}"/>
    <cellStyle name="Normal 8 4 2 2 4 3" xfId="6109" xr:uid="{00000000-0005-0000-0000-0000DD1D0000}"/>
    <cellStyle name="Normal 8 4 2 2 4 3 2" xfId="15435" xr:uid="{AF792A44-E08A-4F8D-9281-6B00A04143AD}"/>
    <cellStyle name="Normal 8 4 2 2 4 3 3" xfId="23882" xr:uid="{55C9FFDE-DE84-4FEE-BA55-B0129A8560E8}"/>
    <cellStyle name="Normal 8 4 2 2 4 4" xfId="11218" xr:uid="{F28A2546-CDD1-4C34-842B-43F06659DED8}"/>
    <cellStyle name="Normal 8 4 2 2 4 5" xfId="19665" xr:uid="{62D46BA9-A341-4902-B01B-2932F0BFB5D7}"/>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E7CBE5E8-50D6-4C28-88E0-E4153FC91DC2}"/>
    <cellStyle name="Normal 8 4 2 2 5 2 2 3" xfId="26440" xr:uid="{98B10481-D0B3-471D-BEA1-184925ADEEE2}"/>
    <cellStyle name="Normal 8 4 2 2 5 2 3" xfId="13776" xr:uid="{8AEF8CFD-8DB8-4D2A-BB93-DA25942D3A71}"/>
    <cellStyle name="Normal 8 4 2 2 5 2 4" xfId="22223" xr:uid="{0F78DFC4-E429-4CB9-A5D7-F5358A3E79AC}"/>
    <cellStyle name="Normal 8 4 2 2 5 3" xfId="6522" xr:uid="{00000000-0005-0000-0000-0000E11D0000}"/>
    <cellStyle name="Normal 8 4 2 2 5 3 2" xfId="15848" xr:uid="{0158242E-C1F1-4A5D-B88E-2B5D150C043B}"/>
    <cellStyle name="Normal 8 4 2 2 5 3 3" xfId="24295" xr:uid="{6142A85D-8D21-406D-84AB-2DC4B16CDA05}"/>
    <cellStyle name="Normal 8 4 2 2 5 4" xfId="11631" xr:uid="{2812C32A-5DAB-40E2-8917-66B1C572D47F}"/>
    <cellStyle name="Normal 8 4 2 2 5 5" xfId="20078" xr:uid="{F4F7315C-7813-44D3-B2FC-591D030ED03F}"/>
    <cellStyle name="Normal 8 4 2 2 6" xfId="2652" xr:uid="{00000000-0005-0000-0000-0000E21D0000}"/>
    <cellStyle name="Normal 8 4 2 2 6 2" xfId="6935" xr:uid="{00000000-0005-0000-0000-0000E31D0000}"/>
    <cellStyle name="Normal 8 4 2 2 6 2 2" xfId="16261" xr:uid="{5489F622-1CA7-4873-9F9F-71E024BDD8DA}"/>
    <cellStyle name="Normal 8 4 2 2 6 2 3" xfId="24708" xr:uid="{B74FF70F-A402-41E1-9300-B745B6D36BD1}"/>
    <cellStyle name="Normal 8 4 2 2 6 3" xfId="12044" xr:uid="{298DF015-BD7B-49E0-B369-EAA9799E12CB}"/>
    <cellStyle name="Normal 8 4 2 2 6 4" xfId="20491" xr:uid="{97878F2C-D0BE-4BBE-99C1-67F7976EF4D5}"/>
    <cellStyle name="Normal 8 4 2 2 7" xfId="4870" xr:uid="{00000000-0005-0000-0000-0000E41D0000}"/>
    <cellStyle name="Normal 8 4 2 2 7 2" xfId="14196" xr:uid="{96C617EC-504B-4585-A2CB-7F091614D77E}"/>
    <cellStyle name="Normal 8 4 2 2 7 3" xfId="22643" xr:uid="{03C5CC9B-7C9A-4C37-AA65-236D31D7C767}"/>
    <cellStyle name="Normal 8 4 2 2 8" xfId="9144" xr:uid="{EF6B0978-3DE8-47DC-990C-0B47AAC8F1DC}"/>
    <cellStyle name="Normal 8 4 2 2 9" xfId="9979" xr:uid="{2FD43A2F-7944-49E8-B7C1-875DC7D3104B}"/>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AB1CF926-F23B-43D5-9B57-57EC220EA6D0}"/>
    <cellStyle name="Normal 8 4 2 3 2 2 3" xfId="25200" xr:uid="{19E477ED-245F-437E-BE20-52A100C322BF}"/>
    <cellStyle name="Normal 8 4 2 3 2 3" xfId="12536" xr:uid="{8D864CBD-BFDE-46D8-BBE7-ABB58C25AA40}"/>
    <cellStyle name="Normal 8 4 2 3 2 4" xfId="20983" xr:uid="{4A868408-CD65-4588-8E49-37BC1947430D}"/>
    <cellStyle name="Normal 8 4 2 3 3" xfId="5282" xr:uid="{00000000-0005-0000-0000-0000E81D0000}"/>
    <cellStyle name="Normal 8 4 2 3 3 2" xfId="14608" xr:uid="{BCB62699-536D-4D47-8B41-F8189FF2495F}"/>
    <cellStyle name="Normal 8 4 2 3 3 3" xfId="23055" xr:uid="{E81E48B4-141D-4A60-B6CB-498A2D6B43D8}"/>
    <cellStyle name="Normal 8 4 2 3 4" xfId="9362" xr:uid="{206856BB-FDDB-4012-ABFE-5E991E477A14}"/>
    <cellStyle name="Normal 8 4 2 3 5" xfId="10391" xr:uid="{6E3920B1-D512-4E90-A9E3-CFF89BEF5668}"/>
    <cellStyle name="Normal 8 4 2 3 6" xfId="18838" xr:uid="{D07CADCA-82F0-4451-8C27-01C7726BBF80}"/>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3DA312F6-67DE-4F51-9BB6-EF278D5E3372}"/>
    <cellStyle name="Normal 8 4 2 4 2 2 3" xfId="25613" xr:uid="{EB3C4849-F5EC-4C20-B752-3CE07F009200}"/>
    <cellStyle name="Normal 8 4 2 4 2 3" xfId="12949" xr:uid="{5819BAE2-55B2-48ED-82D9-9D3C3309BC59}"/>
    <cellStyle name="Normal 8 4 2 4 2 4" xfId="21396" xr:uid="{3383CB5A-EADF-412A-B2D9-FEC0B03A2CC0}"/>
    <cellStyle name="Normal 8 4 2 4 3" xfId="5695" xr:uid="{00000000-0005-0000-0000-0000EC1D0000}"/>
    <cellStyle name="Normal 8 4 2 4 3 2" xfId="15021" xr:uid="{325F3CEE-5465-479F-8870-17A3D043BCFC}"/>
    <cellStyle name="Normal 8 4 2 4 3 3" xfId="23468" xr:uid="{0266F460-7C5A-4A63-A059-D16CBDAF6DDF}"/>
    <cellStyle name="Normal 8 4 2 4 4" xfId="10804" xr:uid="{5A19A2EE-F8C0-45BD-B6B5-026842605413}"/>
    <cellStyle name="Normal 8 4 2 4 5" xfId="19251" xr:uid="{066ED118-96E7-499D-9ACA-2E9DB15363BB}"/>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BCDAA979-480B-4C6C-A28D-BB22D825F50D}"/>
    <cellStyle name="Normal 8 4 2 5 2 2 3" xfId="26026" xr:uid="{B7D0143E-DA78-4F9B-A968-0ADDF5223C36}"/>
    <cellStyle name="Normal 8 4 2 5 2 3" xfId="13362" xr:uid="{4E0E698C-323D-435C-9532-FB1A94EDE7C3}"/>
    <cellStyle name="Normal 8 4 2 5 2 4" xfId="21809" xr:uid="{AF8C5B9C-B59B-42CA-85A2-9B832868EFAF}"/>
    <cellStyle name="Normal 8 4 2 5 3" xfId="6108" xr:uid="{00000000-0005-0000-0000-0000F01D0000}"/>
    <cellStyle name="Normal 8 4 2 5 3 2" xfId="15434" xr:uid="{327149A4-9EA9-43FF-BA70-E2C1367ADEEC}"/>
    <cellStyle name="Normal 8 4 2 5 3 3" xfId="23881" xr:uid="{672E0A4B-EFE6-4B02-8EE6-152930C0D7A6}"/>
    <cellStyle name="Normal 8 4 2 5 4" xfId="11217" xr:uid="{9690380F-AE3A-4838-8BC4-F6720FDCAF33}"/>
    <cellStyle name="Normal 8 4 2 5 5" xfId="19664" xr:uid="{C27C957E-530C-4CF9-BD6A-79923B04FDED}"/>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DF8417B2-D7A7-439B-B8A6-86AC0973A125}"/>
    <cellStyle name="Normal 8 4 2 6 2 2 3" xfId="26439" xr:uid="{E0CE1A3B-0A35-43FA-8E06-B5013A1D4360}"/>
    <cellStyle name="Normal 8 4 2 6 2 3" xfId="13775" xr:uid="{6463E77E-1225-4A44-A153-EB08CDFB1820}"/>
    <cellStyle name="Normal 8 4 2 6 2 4" xfId="22222" xr:uid="{57A16A76-DBBD-4CB0-ADAD-DE845B2E8DF1}"/>
    <cellStyle name="Normal 8 4 2 6 3" xfId="6521" xr:uid="{00000000-0005-0000-0000-0000F41D0000}"/>
    <cellStyle name="Normal 8 4 2 6 3 2" xfId="15847" xr:uid="{298DC627-1036-4F32-8328-701A1C653478}"/>
    <cellStyle name="Normal 8 4 2 6 3 3" xfId="24294" xr:uid="{F7E7874A-2EC6-413F-B91B-B2F814B730AC}"/>
    <cellStyle name="Normal 8 4 2 6 4" xfId="11630" xr:uid="{1D73BB45-6602-4DBB-89CA-C9EB0EE9CB57}"/>
    <cellStyle name="Normal 8 4 2 6 5" xfId="20077" xr:uid="{F02D2D11-8816-4D7F-83A1-397A78995108}"/>
    <cellStyle name="Normal 8 4 2 7" xfId="2651" xr:uid="{00000000-0005-0000-0000-0000F51D0000}"/>
    <cellStyle name="Normal 8 4 2 7 2" xfId="6934" xr:uid="{00000000-0005-0000-0000-0000F61D0000}"/>
    <cellStyle name="Normal 8 4 2 7 2 2" xfId="16260" xr:uid="{B004604A-D448-4EB9-997F-353F9D46AFDB}"/>
    <cellStyle name="Normal 8 4 2 7 2 3" xfId="24707" xr:uid="{B94C5D55-AA7E-4E16-9CAF-484E39BBC6B7}"/>
    <cellStyle name="Normal 8 4 2 7 3" xfId="12043" xr:uid="{97179177-3709-484A-8710-1B595547740C}"/>
    <cellStyle name="Normal 8 4 2 7 4" xfId="20490" xr:uid="{EDBFC9EA-F28F-4A6E-AE82-EDAD1BCD2412}"/>
    <cellStyle name="Normal 8 4 2 8" xfId="4869" xr:uid="{00000000-0005-0000-0000-0000F71D0000}"/>
    <cellStyle name="Normal 8 4 2 8 2" xfId="14195" xr:uid="{68D3CF2C-0E4C-4F41-B3D4-96ECDED6316B}"/>
    <cellStyle name="Normal 8 4 2 8 3" xfId="22642" xr:uid="{77D805EE-3075-4747-90A0-460F37C1DA01}"/>
    <cellStyle name="Normal 8 4 2 9" xfId="8937" xr:uid="{B425CDA4-C1C1-4A6C-AB85-CE28E324A88F}"/>
    <cellStyle name="Normal 8 4 3" xfId="506" xr:uid="{00000000-0005-0000-0000-0000F81D0000}"/>
    <cellStyle name="Normal 8 4 3 10" xfId="18427" xr:uid="{F9F7CBDA-2FA4-4183-9F3A-0A89A41766E8}"/>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AB27EA56-DB60-434B-9FB1-BF1F22CBAFFD}"/>
    <cellStyle name="Normal 8 4 3 2 2 2 3" xfId="25202" xr:uid="{AD1C7B15-8701-43ED-87A3-21516D3F3299}"/>
    <cellStyle name="Normal 8 4 3 2 2 3" xfId="12538" xr:uid="{A7F3C69B-E1A7-480B-AE32-2C2F04187E74}"/>
    <cellStyle name="Normal 8 4 3 2 2 4" xfId="20985" xr:uid="{9CD3B089-4494-4EC6-A015-93DC6BDF448B}"/>
    <cellStyle name="Normal 8 4 3 2 3" xfId="5284" xr:uid="{00000000-0005-0000-0000-0000FC1D0000}"/>
    <cellStyle name="Normal 8 4 3 2 3 2" xfId="14610" xr:uid="{723274CB-8EF7-4CB1-AF45-D54BF79008D0}"/>
    <cellStyle name="Normal 8 4 3 2 3 3" xfId="23057" xr:uid="{35BACEB8-0F23-484B-9478-7962E6D6CD8F}"/>
    <cellStyle name="Normal 8 4 3 2 4" xfId="9466" xr:uid="{4C42748F-6D34-4D0D-8AE2-FFD5C0CBE26F}"/>
    <cellStyle name="Normal 8 4 3 2 5" xfId="10393" xr:uid="{3F461458-6207-4BAC-8B32-4F254F48BD4F}"/>
    <cellStyle name="Normal 8 4 3 2 6" xfId="18840" xr:uid="{3285437C-06BB-47F2-873D-7743EEF81450}"/>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46ACF869-5816-4318-B00D-200B9557E1F9}"/>
    <cellStyle name="Normal 8 4 3 3 2 2 3" xfId="25615" xr:uid="{B5A9C87F-82FC-4054-AC36-DE0328456817}"/>
    <cellStyle name="Normal 8 4 3 3 2 3" xfId="12951" xr:uid="{A7F8D6FD-AF10-4F8F-86B8-A7B2E1EBEC08}"/>
    <cellStyle name="Normal 8 4 3 3 2 4" xfId="21398" xr:uid="{0C585F16-F724-4120-BBB5-DFB7647D14C1}"/>
    <cellStyle name="Normal 8 4 3 3 3" xfId="5697" xr:uid="{00000000-0005-0000-0000-0000001E0000}"/>
    <cellStyle name="Normal 8 4 3 3 3 2" xfId="15023" xr:uid="{B561A1DB-8CA7-4C18-95A1-AE854635EA42}"/>
    <cellStyle name="Normal 8 4 3 3 3 3" xfId="23470" xr:uid="{CAFD9959-7184-4B18-B4CD-88B038D0BE28}"/>
    <cellStyle name="Normal 8 4 3 3 4" xfId="10806" xr:uid="{B018F63D-0277-42B5-8C0B-658EE122DFD4}"/>
    <cellStyle name="Normal 8 4 3 3 5" xfId="19253" xr:uid="{0303F094-78E8-4AB8-B4C1-B148AFAE5DC7}"/>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E48D5C97-AFF2-4826-B682-C51E021ECCC3}"/>
    <cellStyle name="Normal 8 4 3 4 2 2 3" xfId="26028" xr:uid="{E5D3983F-C384-43D5-B306-E595A05E9B28}"/>
    <cellStyle name="Normal 8 4 3 4 2 3" xfId="13364" xr:uid="{89AD1593-7E91-4CF5-AE24-969EFB305DEE}"/>
    <cellStyle name="Normal 8 4 3 4 2 4" xfId="21811" xr:uid="{988C1AA1-DAD7-4E04-BC56-5154AFE0D2FA}"/>
    <cellStyle name="Normal 8 4 3 4 3" xfId="6110" xr:uid="{00000000-0005-0000-0000-0000041E0000}"/>
    <cellStyle name="Normal 8 4 3 4 3 2" xfId="15436" xr:uid="{6AAB43C3-A7F1-4EA3-84E4-851AB6BD2EFB}"/>
    <cellStyle name="Normal 8 4 3 4 3 3" xfId="23883" xr:uid="{11298AEF-1014-49F7-B3C7-5B465D65AF12}"/>
    <cellStyle name="Normal 8 4 3 4 4" xfId="11219" xr:uid="{E49BB5E2-4011-46B9-9B7F-3CAE91650585}"/>
    <cellStyle name="Normal 8 4 3 4 5" xfId="19666" xr:uid="{EBC82F65-61D2-484D-8A52-A7113F8C1DAC}"/>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1942CB8E-D1AA-470B-B5AA-EA69DF37F8AD}"/>
    <cellStyle name="Normal 8 4 3 5 2 2 3" xfId="26441" xr:uid="{31A9A847-9EFE-4860-8FE7-E71707A9AA48}"/>
    <cellStyle name="Normal 8 4 3 5 2 3" xfId="13777" xr:uid="{9FBDCF5A-A5C5-4850-AB1B-5725D27D951E}"/>
    <cellStyle name="Normal 8 4 3 5 2 4" xfId="22224" xr:uid="{A552497F-879D-48BC-B4EF-9EB704CDBB77}"/>
    <cellStyle name="Normal 8 4 3 5 3" xfId="6523" xr:uid="{00000000-0005-0000-0000-0000081E0000}"/>
    <cellStyle name="Normal 8 4 3 5 3 2" xfId="15849" xr:uid="{96C3E9F9-8A9E-46F3-A9C0-698CC42C4DF7}"/>
    <cellStyle name="Normal 8 4 3 5 3 3" xfId="24296" xr:uid="{DE65B0C5-92BE-4D79-8ED5-6D36430EF7F9}"/>
    <cellStyle name="Normal 8 4 3 5 4" xfId="11632" xr:uid="{19AA78E1-27B0-4861-866C-A766287A51F8}"/>
    <cellStyle name="Normal 8 4 3 5 5" xfId="20079" xr:uid="{E9511343-C961-4FAF-A745-AE88C3037312}"/>
    <cellStyle name="Normal 8 4 3 6" xfId="2653" xr:uid="{00000000-0005-0000-0000-0000091E0000}"/>
    <cellStyle name="Normal 8 4 3 6 2" xfId="6936" xr:uid="{00000000-0005-0000-0000-00000A1E0000}"/>
    <cellStyle name="Normal 8 4 3 6 2 2" xfId="16262" xr:uid="{B9B6447F-E58B-4CFF-B928-12E2CE3B85AC}"/>
    <cellStyle name="Normal 8 4 3 6 2 3" xfId="24709" xr:uid="{92D8A355-3D7B-47D5-84B3-F21B667EF95A}"/>
    <cellStyle name="Normal 8 4 3 6 3" xfId="12045" xr:uid="{962858F0-E1F1-4163-85AC-4B5859359883}"/>
    <cellStyle name="Normal 8 4 3 6 4" xfId="20492" xr:uid="{5177643A-3138-48F9-A873-04BC368A1B67}"/>
    <cellStyle name="Normal 8 4 3 7" xfId="4871" xr:uid="{00000000-0005-0000-0000-00000B1E0000}"/>
    <cellStyle name="Normal 8 4 3 7 2" xfId="14197" xr:uid="{389B8FA9-1B02-410B-88CE-25DBAE1C8DFD}"/>
    <cellStyle name="Normal 8 4 3 7 3" xfId="22644" xr:uid="{B8EA0C36-8C2A-4A58-ACEB-2BC108C41FCD}"/>
    <cellStyle name="Normal 8 4 3 8" xfId="9041" xr:uid="{3EA15F1E-D38A-4BB8-BEC6-98D9A94BB79B}"/>
    <cellStyle name="Normal 8 4 3 9" xfId="9980" xr:uid="{20548AC6-F733-4343-ADAC-C3B4E9FB26C1}"/>
    <cellStyle name="Normal 8 4 4" xfId="970" xr:uid="{00000000-0005-0000-0000-00000C1E0000}"/>
    <cellStyle name="Normal 8 4 4 2" xfId="3204" xr:uid="{00000000-0005-0000-0000-00000D1E0000}"/>
    <cellStyle name="Normal 8 4 4 2 2" xfId="7426" xr:uid="{00000000-0005-0000-0000-00000E1E0000}"/>
    <cellStyle name="Normal 8 4 4 2 2 2" xfId="16752" xr:uid="{2542886E-E6DB-4D1B-94E9-B2B6F5911D44}"/>
    <cellStyle name="Normal 8 4 4 2 2 3" xfId="25199" xr:uid="{709115A1-456D-4CE8-A7F7-76898719C148}"/>
    <cellStyle name="Normal 8 4 4 2 3" xfId="12535" xr:uid="{EF648E47-4765-49A4-B823-2B3C88EDB17A}"/>
    <cellStyle name="Normal 8 4 4 2 4" xfId="20982" xr:uid="{A70A1D29-E491-41E2-AFC0-0490FA861081}"/>
    <cellStyle name="Normal 8 4 4 3" xfId="5281" xr:uid="{00000000-0005-0000-0000-00000F1E0000}"/>
    <cellStyle name="Normal 8 4 4 3 2" xfId="14607" xr:uid="{CA8BC17D-1AB9-49D2-A3DB-295D4AA965CB}"/>
    <cellStyle name="Normal 8 4 4 3 3" xfId="23054" xr:uid="{D41F5ACB-E48E-4B82-83FA-A758E6A00397}"/>
    <cellStyle name="Normal 8 4 4 4" xfId="9259" xr:uid="{45904BAA-3C39-482B-A2B6-0FB84C0B889C}"/>
    <cellStyle name="Normal 8 4 4 5" xfId="10390" xr:uid="{9FF21D9F-9853-41A7-98EB-7EC64145E8FA}"/>
    <cellStyle name="Normal 8 4 4 6" xfId="18837" xr:uid="{B4F0E773-E6C2-47A1-86AE-6AFAA6393D5C}"/>
    <cellStyle name="Normal 8 4 5" xfId="1387" xr:uid="{00000000-0005-0000-0000-0000101E0000}"/>
    <cellStyle name="Normal 8 4 5 2" xfId="3617" xr:uid="{00000000-0005-0000-0000-0000111E0000}"/>
    <cellStyle name="Normal 8 4 5 2 2" xfId="7839" xr:uid="{00000000-0005-0000-0000-0000121E0000}"/>
    <cellStyle name="Normal 8 4 5 2 2 2" xfId="17165" xr:uid="{E54FFB74-BC6C-447E-BE8B-960FF90736DF}"/>
    <cellStyle name="Normal 8 4 5 2 2 3" xfId="25612" xr:uid="{1A2F0626-A75D-4FBC-93E1-F2E1C98AB975}"/>
    <cellStyle name="Normal 8 4 5 2 3" xfId="12948" xr:uid="{52CF47BC-8751-43DC-9CA8-B2C6B8EAFC5E}"/>
    <cellStyle name="Normal 8 4 5 2 4" xfId="21395" xr:uid="{9A54A347-8E67-4650-9E47-442ED02EC0C9}"/>
    <cellStyle name="Normal 8 4 5 3" xfId="5694" xr:uid="{00000000-0005-0000-0000-0000131E0000}"/>
    <cellStyle name="Normal 8 4 5 3 2" xfId="15020" xr:uid="{441439ED-490E-4715-AA14-794E41A30FAE}"/>
    <cellStyle name="Normal 8 4 5 3 3" xfId="23467" xr:uid="{4A623FE1-65A0-4CE8-88C9-DE0E4C5331E3}"/>
    <cellStyle name="Normal 8 4 5 4" xfId="10803" xr:uid="{33980A9A-73A7-46C3-AFCF-4A82CBFEFF1A}"/>
    <cellStyle name="Normal 8 4 5 5" xfId="19250" xr:uid="{6131A104-1753-4E33-A467-8BB1A018D239}"/>
    <cellStyle name="Normal 8 4 6" xfId="1800" xr:uid="{00000000-0005-0000-0000-0000141E0000}"/>
    <cellStyle name="Normal 8 4 6 2" xfId="4030" xr:uid="{00000000-0005-0000-0000-0000151E0000}"/>
    <cellStyle name="Normal 8 4 6 2 2" xfId="8252" xr:uid="{00000000-0005-0000-0000-0000161E0000}"/>
    <cellStyle name="Normal 8 4 6 2 2 2" xfId="17578" xr:uid="{010254EC-6A30-45B6-9283-FA9DA16EFF9E}"/>
    <cellStyle name="Normal 8 4 6 2 2 3" xfId="26025" xr:uid="{C4DB50B9-80B1-4B23-B7C4-4C27B8D2AB74}"/>
    <cellStyle name="Normal 8 4 6 2 3" xfId="13361" xr:uid="{976EAC6E-D9B2-4DA5-85A9-06C69E21C4CB}"/>
    <cellStyle name="Normal 8 4 6 2 4" xfId="21808" xr:uid="{ABD58943-3197-45AF-ADC3-0D7CCADC79F3}"/>
    <cellStyle name="Normal 8 4 6 3" xfId="6107" xr:uid="{00000000-0005-0000-0000-0000171E0000}"/>
    <cellStyle name="Normal 8 4 6 3 2" xfId="15433" xr:uid="{D16512AB-40A5-482E-898C-2D3BFE1F7970}"/>
    <cellStyle name="Normal 8 4 6 3 3" xfId="23880" xr:uid="{AAB23D27-4B5A-4CE1-B080-5E765DB1896B}"/>
    <cellStyle name="Normal 8 4 6 4" xfId="11216" xr:uid="{915BDF0B-1405-4B8C-ABC8-764BE88AFB5E}"/>
    <cellStyle name="Normal 8 4 6 5" xfId="19663" xr:uid="{21DFE31F-07C2-4114-9163-5BF1BF4E155F}"/>
    <cellStyle name="Normal 8 4 7" xfId="2214" xr:uid="{00000000-0005-0000-0000-0000181E0000}"/>
    <cellStyle name="Normal 8 4 7 2" xfId="4443" xr:uid="{00000000-0005-0000-0000-0000191E0000}"/>
    <cellStyle name="Normal 8 4 7 2 2" xfId="8665" xr:uid="{00000000-0005-0000-0000-00001A1E0000}"/>
    <cellStyle name="Normal 8 4 7 2 2 2" xfId="17991" xr:uid="{147E3115-9C2F-4729-B3F4-B6F6F2D9989E}"/>
    <cellStyle name="Normal 8 4 7 2 2 3" xfId="26438" xr:uid="{E94889B7-F0C0-49C7-9031-D77F5A8975DC}"/>
    <cellStyle name="Normal 8 4 7 2 3" xfId="13774" xr:uid="{0EADE05B-50B2-4D64-98C0-00A606590F10}"/>
    <cellStyle name="Normal 8 4 7 2 4" xfId="22221" xr:uid="{8A39507C-0AD8-4AB3-9FCD-1BB24E336A1F}"/>
    <cellStyle name="Normal 8 4 7 3" xfId="6520" xr:uid="{00000000-0005-0000-0000-00001B1E0000}"/>
    <cellStyle name="Normal 8 4 7 3 2" xfId="15846" xr:uid="{07FC70C7-1128-4EF9-B346-A11144E30BD0}"/>
    <cellStyle name="Normal 8 4 7 3 3" xfId="24293" xr:uid="{C268153A-ADEB-4B90-9948-035472B335F0}"/>
    <cellStyle name="Normal 8 4 7 4" xfId="11629" xr:uid="{6CC74084-78DA-42FB-89C9-5F3534026752}"/>
    <cellStyle name="Normal 8 4 7 5" xfId="20076" xr:uid="{093B28B8-3FA7-4E32-BE2D-A0D6A5906451}"/>
    <cellStyle name="Normal 8 4 8" xfId="2650" xr:uid="{00000000-0005-0000-0000-00001C1E0000}"/>
    <cellStyle name="Normal 8 4 8 2" xfId="6933" xr:uid="{00000000-0005-0000-0000-00001D1E0000}"/>
    <cellStyle name="Normal 8 4 8 2 2" xfId="16259" xr:uid="{F260946B-7D57-42BB-8D73-8A0187602901}"/>
    <cellStyle name="Normal 8 4 8 2 3" xfId="24706" xr:uid="{D47CB81D-D5B0-4701-9EB9-3DD3C9A3B86D}"/>
    <cellStyle name="Normal 8 4 8 3" xfId="12042" xr:uid="{0B9917CB-0274-4867-8C90-061A71C0BEE3}"/>
    <cellStyle name="Normal 8 4 8 4" xfId="20489" xr:uid="{E03B24E5-47AA-4FC2-AC00-B26FAF41DF7B}"/>
    <cellStyle name="Normal 8 4 9" xfId="4868" xr:uid="{00000000-0005-0000-0000-00001E1E0000}"/>
    <cellStyle name="Normal 8 4 9 2" xfId="14194" xr:uid="{CEAF0E8D-1366-4696-9800-0741E4C54934}"/>
    <cellStyle name="Normal 8 4 9 3" xfId="22641" xr:uid="{AB2AB611-24FC-44E5-B3C2-83BA228DA744}"/>
    <cellStyle name="Normal 8 5" xfId="507" xr:uid="{00000000-0005-0000-0000-00001F1E0000}"/>
    <cellStyle name="Normal 8 5 10" xfId="9981" xr:uid="{26316F79-3BBC-486F-B9BB-F1DD6AE51E44}"/>
    <cellStyle name="Normal 8 5 11" xfId="18428" xr:uid="{F217CA98-28F0-4D03-9814-9C28C6CA0415}"/>
    <cellStyle name="Normal 8 5 2" xfId="508" xr:uid="{00000000-0005-0000-0000-0000201E0000}"/>
    <cellStyle name="Normal 8 5 2 10" xfId="18429" xr:uid="{030B18F2-5081-4D4B-8F0D-5B8AE220C4D9}"/>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FCF9098F-F9D3-4E33-A2B8-3F6E88A7D162}"/>
    <cellStyle name="Normal 8 5 2 2 2 2 3" xfId="25204" xr:uid="{145E5AF2-F5D4-49CC-9EAC-32C1A99BB7A4}"/>
    <cellStyle name="Normal 8 5 2 2 2 3" xfId="12540" xr:uid="{F829203E-FFD4-4564-8A19-3DFB699C3D19}"/>
    <cellStyle name="Normal 8 5 2 2 2 4" xfId="20987" xr:uid="{86E40C4B-7FD7-4527-8FE0-D7C902296F5D}"/>
    <cellStyle name="Normal 8 5 2 2 3" xfId="5286" xr:uid="{00000000-0005-0000-0000-0000241E0000}"/>
    <cellStyle name="Normal 8 5 2 2 3 2" xfId="14612" xr:uid="{EE86B2F3-F474-4E7E-9881-CBC079118FF0}"/>
    <cellStyle name="Normal 8 5 2 2 3 3" xfId="23059" xr:uid="{7D7E5A67-0FB4-46CA-8AD2-F72E57B0A944}"/>
    <cellStyle name="Normal 8 5 2 2 4" xfId="9477" xr:uid="{62ED1F43-6081-4B0B-94C3-5999D37D11C7}"/>
    <cellStyle name="Normal 8 5 2 2 5" xfId="10395" xr:uid="{AED14D39-6CFF-41D7-8310-6A662A5F17BE}"/>
    <cellStyle name="Normal 8 5 2 2 6" xfId="18842" xr:uid="{64F3853C-A925-4E2A-A8B5-C5344094B3D7}"/>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2F2BCA7B-88ED-491E-88E3-F3AB908A6C2A}"/>
    <cellStyle name="Normal 8 5 2 3 2 2 3" xfId="25617" xr:uid="{20FC5EEE-4D81-44D8-978A-D07F3AD02E9B}"/>
    <cellStyle name="Normal 8 5 2 3 2 3" xfId="12953" xr:uid="{340C1BAA-2CE5-4C9D-97BF-53E9284856A1}"/>
    <cellStyle name="Normal 8 5 2 3 2 4" xfId="21400" xr:uid="{292A05C9-571A-4D56-97FC-AE644B90C70A}"/>
    <cellStyle name="Normal 8 5 2 3 3" xfId="5699" xr:uid="{00000000-0005-0000-0000-0000281E0000}"/>
    <cellStyle name="Normal 8 5 2 3 3 2" xfId="15025" xr:uid="{AE6B0CB2-3AFD-4DAB-BCA7-6E54D4FA1940}"/>
    <cellStyle name="Normal 8 5 2 3 3 3" xfId="23472" xr:uid="{729CA2A0-3FEB-4A76-A9BA-0AE6988FCBB3}"/>
    <cellStyle name="Normal 8 5 2 3 4" xfId="10808" xr:uid="{9E82EB24-D5E0-4B67-A401-357303FF65A5}"/>
    <cellStyle name="Normal 8 5 2 3 5" xfId="19255" xr:uid="{914FB6EE-5BDE-40BB-8ED1-17BF2D6C9E21}"/>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0611E9B5-CE6D-438E-96D3-CC371359A151}"/>
    <cellStyle name="Normal 8 5 2 4 2 2 3" xfId="26030" xr:uid="{ACE7442B-4A0A-4E04-BFDB-6A2522FAC4A3}"/>
    <cellStyle name="Normal 8 5 2 4 2 3" xfId="13366" xr:uid="{A875FBD5-97D5-4D21-A27F-D8F2C371A47A}"/>
    <cellStyle name="Normal 8 5 2 4 2 4" xfId="21813" xr:uid="{E68BC5BB-5698-40A3-922E-8B709137DCAE}"/>
    <cellStyle name="Normal 8 5 2 4 3" xfId="6112" xr:uid="{00000000-0005-0000-0000-00002C1E0000}"/>
    <cellStyle name="Normal 8 5 2 4 3 2" xfId="15438" xr:uid="{AFD77AF8-BC77-4020-BACC-365A4E2C1434}"/>
    <cellStyle name="Normal 8 5 2 4 3 3" xfId="23885" xr:uid="{EA609622-2A6F-4CEA-B74B-D7721D2BD721}"/>
    <cellStyle name="Normal 8 5 2 4 4" xfId="11221" xr:uid="{2A9AFE9A-5429-4D89-BF44-0BE53885FC9A}"/>
    <cellStyle name="Normal 8 5 2 4 5" xfId="19668" xr:uid="{23AD023C-A51C-4F6E-8AC8-91D579449688}"/>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66EA2869-46C6-4A56-805C-31068624CE85}"/>
    <cellStyle name="Normal 8 5 2 5 2 2 3" xfId="26443" xr:uid="{34110735-9607-49A2-A6CA-7F78EFC3C622}"/>
    <cellStyle name="Normal 8 5 2 5 2 3" xfId="13779" xr:uid="{34F2F9E5-930C-42B4-A9A0-120BBE403002}"/>
    <cellStyle name="Normal 8 5 2 5 2 4" xfId="22226" xr:uid="{28A7AFC3-7267-4D4A-B195-8C4111AE0629}"/>
    <cellStyle name="Normal 8 5 2 5 3" xfId="6525" xr:uid="{00000000-0005-0000-0000-0000301E0000}"/>
    <cellStyle name="Normal 8 5 2 5 3 2" xfId="15851" xr:uid="{FABEAB0F-49A6-453E-9278-B13E41987905}"/>
    <cellStyle name="Normal 8 5 2 5 3 3" xfId="24298" xr:uid="{CD76F989-7ECC-4E66-A049-EB95A1078396}"/>
    <cellStyle name="Normal 8 5 2 5 4" xfId="11634" xr:uid="{9F1D91B0-9228-4D17-96C0-AED8FD21A5F7}"/>
    <cellStyle name="Normal 8 5 2 5 5" xfId="20081" xr:uid="{F4988920-5965-47D4-9DD6-F2F877916D5A}"/>
    <cellStyle name="Normal 8 5 2 6" xfId="2655" xr:uid="{00000000-0005-0000-0000-0000311E0000}"/>
    <cellStyle name="Normal 8 5 2 6 2" xfId="6938" xr:uid="{00000000-0005-0000-0000-0000321E0000}"/>
    <cellStyle name="Normal 8 5 2 6 2 2" xfId="16264" xr:uid="{449A2022-A5CB-42AA-BB16-E0DE94BCBB76}"/>
    <cellStyle name="Normal 8 5 2 6 2 3" xfId="24711" xr:uid="{8046C0AE-2EDF-413B-905C-5DA8876A692C}"/>
    <cellStyle name="Normal 8 5 2 6 3" xfId="12047" xr:uid="{9939083A-558E-4466-A190-BE3AC4397A8A}"/>
    <cellStyle name="Normal 8 5 2 6 4" xfId="20494" xr:uid="{F4B2C59B-2FD8-4153-87C3-E4CB202DE63D}"/>
    <cellStyle name="Normal 8 5 2 7" xfId="4873" xr:uid="{00000000-0005-0000-0000-0000331E0000}"/>
    <cellStyle name="Normal 8 5 2 7 2" xfId="14199" xr:uid="{A94DE1D0-DE00-4FC1-B891-603A509ABB21}"/>
    <cellStyle name="Normal 8 5 2 7 3" xfId="22646" xr:uid="{1124CDE3-F491-4555-9965-15948F7597EE}"/>
    <cellStyle name="Normal 8 5 2 8" xfId="9052" xr:uid="{D754D15A-EECE-4975-9542-AF3C340304E3}"/>
    <cellStyle name="Normal 8 5 2 9" xfId="9982" xr:uid="{4FAB01D2-EA51-4635-9B72-6148B1EF0F3C}"/>
    <cellStyle name="Normal 8 5 3" xfId="974" xr:uid="{00000000-0005-0000-0000-0000341E0000}"/>
    <cellStyle name="Normal 8 5 3 2" xfId="3208" xr:uid="{00000000-0005-0000-0000-0000351E0000}"/>
    <cellStyle name="Normal 8 5 3 2 2" xfId="7430" xr:uid="{00000000-0005-0000-0000-0000361E0000}"/>
    <cellStyle name="Normal 8 5 3 2 2 2" xfId="16756" xr:uid="{CDCD7B13-FF3F-4F12-AC8A-DCFB1962A808}"/>
    <cellStyle name="Normal 8 5 3 2 2 3" xfId="25203" xr:uid="{AE78643D-9381-48AC-B10B-7BF78D3951D2}"/>
    <cellStyle name="Normal 8 5 3 2 3" xfId="12539" xr:uid="{C5015F87-8208-4EB7-AAC1-4FBD776AE45F}"/>
    <cellStyle name="Normal 8 5 3 2 4" xfId="20986" xr:uid="{51CA3472-9EE7-4C5E-8141-EEA9AADBACF2}"/>
    <cellStyle name="Normal 8 5 3 3" xfId="5285" xr:uid="{00000000-0005-0000-0000-0000371E0000}"/>
    <cellStyle name="Normal 8 5 3 3 2" xfId="14611" xr:uid="{A45F87E3-4549-4E30-9C51-6481A4419970}"/>
    <cellStyle name="Normal 8 5 3 3 3" xfId="23058" xr:uid="{B574874C-96E9-4E71-937B-2A24EF1A0D17}"/>
    <cellStyle name="Normal 8 5 3 4" xfId="9270" xr:uid="{88F9D262-71F2-4DD2-A7F6-B0DCE74ABD45}"/>
    <cellStyle name="Normal 8 5 3 5" xfId="10394" xr:uid="{33901DFB-4C70-4EC3-BD04-AB60B7427C42}"/>
    <cellStyle name="Normal 8 5 3 6" xfId="18841" xr:uid="{4AAA9E09-C798-4952-9212-9EBD85A20FCA}"/>
    <cellStyle name="Normal 8 5 4" xfId="1391" xr:uid="{00000000-0005-0000-0000-0000381E0000}"/>
    <cellStyle name="Normal 8 5 4 2" xfId="3621" xr:uid="{00000000-0005-0000-0000-0000391E0000}"/>
    <cellStyle name="Normal 8 5 4 2 2" xfId="7843" xr:uid="{00000000-0005-0000-0000-00003A1E0000}"/>
    <cellStyle name="Normal 8 5 4 2 2 2" xfId="17169" xr:uid="{7BC7552B-00CA-4A99-BBB8-C9CB6F47F56B}"/>
    <cellStyle name="Normal 8 5 4 2 2 3" xfId="25616" xr:uid="{0FECB2C5-AFF0-473A-A11D-1E6D7EA61905}"/>
    <cellStyle name="Normal 8 5 4 2 3" xfId="12952" xr:uid="{AD46FD9C-8651-4FF2-BD3D-98F14CDE666F}"/>
    <cellStyle name="Normal 8 5 4 2 4" xfId="21399" xr:uid="{8AEFC6CA-E6FF-4301-AB1A-7D7EB765438A}"/>
    <cellStyle name="Normal 8 5 4 3" xfId="5698" xr:uid="{00000000-0005-0000-0000-00003B1E0000}"/>
    <cellStyle name="Normal 8 5 4 3 2" xfId="15024" xr:uid="{60AF449A-7FBB-4574-8AB6-086B84E49BCD}"/>
    <cellStyle name="Normal 8 5 4 3 3" xfId="23471" xr:uid="{49F13205-97E0-43DC-8B36-B77FDDB159B9}"/>
    <cellStyle name="Normal 8 5 4 4" xfId="10807" xr:uid="{AC357250-CC62-4FD9-A077-A5EDEDF121A6}"/>
    <cellStyle name="Normal 8 5 4 5" xfId="19254" xr:uid="{B374177B-9BEF-499B-84F4-D30BAADF7BB2}"/>
    <cellStyle name="Normal 8 5 5" xfId="1804" xr:uid="{00000000-0005-0000-0000-00003C1E0000}"/>
    <cellStyle name="Normal 8 5 5 2" xfId="4034" xr:uid="{00000000-0005-0000-0000-00003D1E0000}"/>
    <cellStyle name="Normal 8 5 5 2 2" xfId="8256" xr:uid="{00000000-0005-0000-0000-00003E1E0000}"/>
    <cellStyle name="Normal 8 5 5 2 2 2" xfId="17582" xr:uid="{491ADC83-34B4-4B16-B15A-E682CE0CA0E6}"/>
    <cellStyle name="Normal 8 5 5 2 2 3" xfId="26029" xr:uid="{3AB1F808-F342-4D73-8246-312B65BA4FA1}"/>
    <cellStyle name="Normal 8 5 5 2 3" xfId="13365" xr:uid="{73C63BBB-D547-48FE-A17F-03BE958BA841}"/>
    <cellStyle name="Normal 8 5 5 2 4" xfId="21812" xr:uid="{0BD904A7-4473-400B-8F2F-074158BD6905}"/>
    <cellStyle name="Normal 8 5 5 3" xfId="6111" xr:uid="{00000000-0005-0000-0000-00003F1E0000}"/>
    <cellStyle name="Normal 8 5 5 3 2" xfId="15437" xr:uid="{44ED2664-A2C6-4861-AE8C-FD332155D5EA}"/>
    <cellStyle name="Normal 8 5 5 3 3" xfId="23884" xr:uid="{5DE83764-9DFD-46D5-9BB6-625404513554}"/>
    <cellStyle name="Normal 8 5 5 4" xfId="11220" xr:uid="{0331E22F-B8A7-491B-A7AE-252CF0EC4545}"/>
    <cellStyle name="Normal 8 5 5 5" xfId="19667" xr:uid="{7EFA369E-8EAB-402E-993A-601F12FCC5E7}"/>
    <cellStyle name="Normal 8 5 6" xfId="2218" xr:uid="{00000000-0005-0000-0000-0000401E0000}"/>
    <cellStyle name="Normal 8 5 6 2" xfId="4447" xr:uid="{00000000-0005-0000-0000-0000411E0000}"/>
    <cellStyle name="Normal 8 5 6 2 2" xfId="8669" xr:uid="{00000000-0005-0000-0000-0000421E0000}"/>
    <cellStyle name="Normal 8 5 6 2 2 2" xfId="17995" xr:uid="{92F7815F-96CC-411E-9022-6B48102FC05E}"/>
    <cellStyle name="Normal 8 5 6 2 2 3" xfId="26442" xr:uid="{758CE8B9-9AE6-4254-A492-E3C89CD5BD16}"/>
    <cellStyle name="Normal 8 5 6 2 3" xfId="13778" xr:uid="{CC72B816-3171-4668-AFE1-6CE71322F04A}"/>
    <cellStyle name="Normal 8 5 6 2 4" xfId="22225" xr:uid="{A5A9D924-1A30-4B46-AF5F-87C2C15A9C7F}"/>
    <cellStyle name="Normal 8 5 6 3" xfId="6524" xr:uid="{00000000-0005-0000-0000-0000431E0000}"/>
    <cellStyle name="Normal 8 5 6 3 2" xfId="15850" xr:uid="{7F7F352C-7343-4099-B6D0-7C67BE8ED252}"/>
    <cellStyle name="Normal 8 5 6 3 3" xfId="24297" xr:uid="{1A64F2C7-7BF1-4EFD-98B9-C751B06AD0B1}"/>
    <cellStyle name="Normal 8 5 6 4" xfId="11633" xr:uid="{6D3C34E8-F56E-48B5-A28D-9E2B3FAA759F}"/>
    <cellStyle name="Normal 8 5 6 5" xfId="20080" xr:uid="{369D28B6-FEAC-494A-9C1E-1372EEBC4987}"/>
    <cellStyle name="Normal 8 5 7" xfId="2654" xr:uid="{00000000-0005-0000-0000-0000441E0000}"/>
    <cellStyle name="Normal 8 5 7 2" xfId="6937" xr:uid="{00000000-0005-0000-0000-0000451E0000}"/>
    <cellStyle name="Normal 8 5 7 2 2" xfId="16263" xr:uid="{DFE0060D-F32F-4EBA-8FD1-01689EFB1FEE}"/>
    <cellStyle name="Normal 8 5 7 2 3" xfId="24710" xr:uid="{164EF81D-BD29-4281-BC8C-AF6F40E06FF8}"/>
    <cellStyle name="Normal 8 5 7 3" xfId="12046" xr:uid="{618C69F2-8591-46EE-B2E3-9743140AC411}"/>
    <cellStyle name="Normal 8 5 7 4" xfId="20493" xr:uid="{59DD7E7B-3977-4440-BC25-117EBB151CCB}"/>
    <cellStyle name="Normal 8 5 8" xfId="4872" xr:uid="{00000000-0005-0000-0000-0000461E0000}"/>
    <cellStyle name="Normal 8 5 8 2" xfId="14198" xr:uid="{D44BC7F9-8617-47B0-A222-271EBE123FBC}"/>
    <cellStyle name="Normal 8 5 8 3" xfId="22645" xr:uid="{0F990971-6300-45AF-8B69-13DC402357CA}"/>
    <cellStyle name="Normal 8 5 9" xfId="8845" xr:uid="{C8167C67-59BC-42DE-816D-718433EFB28C}"/>
    <cellStyle name="Normal 8 6" xfId="509" xr:uid="{00000000-0005-0000-0000-0000471E0000}"/>
    <cellStyle name="Normal 8 6 10" xfId="18430" xr:uid="{D278B86F-C42E-4AFB-8893-C93051C8850B}"/>
    <cellStyle name="Normal 8 6 2" xfId="976" xr:uid="{00000000-0005-0000-0000-0000481E0000}"/>
    <cellStyle name="Normal 8 6 2 2" xfId="3210" xr:uid="{00000000-0005-0000-0000-0000491E0000}"/>
    <cellStyle name="Normal 8 6 2 2 2" xfId="7432" xr:uid="{00000000-0005-0000-0000-00004A1E0000}"/>
    <cellStyle name="Normal 8 6 2 2 2 2" xfId="16758" xr:uid="{26CAD836-720E-421B-B66F-D2F565F39A75}"/>
    <cellStyle name="Normal 8 6 2 2 2 3" xfId="25205" xr:uid="{D0C8099D-F8F8-49BC-B839-4C0170E217D7}"/>
    <cellStyle name="Normal 8 6 2 2 3" xfId="12541" xr:uid="{8ED449DC-7CB2-47E8-8858-BE1B827A8D72}"/>
    <cellStyle name="Normal 8 6 2 2 4" xfId="20988" xr:uid="{A2B702BE-392C-4D35-999B-984E6913D00A}"/>
    <cellStyle name="Normal 8 6 2 3" xfId="5287" xr:uid="{00000000-0005-0000-0000-00004B1E0000}"/>
    <cellStyle name="Normal 8 6 2 3 2" xfId="14613" xr:uid="{E43EBF43-B3F8-4D21-8B25-8C8F79E4DBE1}"/>
    <cellStyle name="Normal 8 6 2 3 3" xfId="23060" xr:uid="{C83B13C8-87DC-4D85-9BD7-B026962457D1}"/>
    <cellStyle name="Normal 8 6 2 4" xfId="9386" xr:uid="{45A5CE0D-B006-45BB-A53E-22B23F4367E3}"/>
    <cellStyle name="Normal 8 6 2 5" xfId="10396" xr:uid="{1F30D85A-B48C-43C3-8CDF-F0B48C492712}"/>
    <cellStyle name="Normal 8 6 2 6" xfId="18843" xr:uid="{62680215-C571-410D-89E2-E16B2D48B5B3}"/>
    <cellStyle name="Normal 8 6 3" xfId="1393" xr:uid="{00000000-0005-0000-0000-00004C1E0000}"/>
    <cellStyle name="Normal 8 6 3 2" xfId="3623" xr:uid="{00000000-0005-0000-0000-00004D1E0000}"/>
    <cellStyle name="Normal 8 6 3 2 2" xfId="7845" xr:uid="{00000000-0005-0000-0000-00004E1E0000}"/>
    <cellStyle name="Normal 8 6 3 2 2 2" xfId="17171" xr:uid="{44979269-10B9-4911-92DA-E293AADD6539}"/>
    <cellStyle name="Normal 8 6 3 2 2 3" xfId="25618" xr:uid="{B83A2628-A008-4C59-B1D2-01739944B413}"/>
    <cellStyle name="Normal 8 6 3 2 3" xfId="12954" xr:uid="{C5F2A958-CA78-4C0E-80A9-505A8BA69528}"/>
    <cellStyle name="Normal 8 6 3 2 4" xfId="21401" xr:uid="{EB008E33-1FE2-4DBE-A8F4-D6D9590FB963}"/>
    <cellStyle name="Normal 8 6 3 3" xfId="5700" xr:uid="{00000000-0005-0000-0000-00004F1E0000}"/>
    <cellStyle name="Normal 8 6 3 3 2" xfId="15026" xr:uid="{A5035ACB-B027-4E3C-992D-05C43A542814}"/>
    <cellStyle name="Normal 8 6 3 3 3" xfId="23473" xr:uid="{D2A4079B-5A75-420B-BBBE-AB00CA79A3F6}"/>
    <cellStyle name="Normal 8 6 3 4" xfId="10809" xr:uid="{AE2525DE-74D8-4B7A-BE3F-D1A368860569}"/>
    <cellStyle name="Normal 8 6 3 5" xfId="19256" xr:uid="{9F0C5FAD-C175-4566-8643-354196A495A0}"/>
    <cellStyle name="Normal 8 6 4" xfId="1806" xr:uid="{00000000-0005-0000-0000-0000501E0000}"/>
    <cellStyle name="Normal 8 6 4 2" xfId="4036" xr:uid="{00000000-0005-0000-0000-0000511E0000}"/>
    <cellStyle name="Normal 8 6 4 2 2" xfId="8258" xr:uid="{00000000-0005-0000-0000-0000521E0000}"/>
    <cellStyle name="Normal 8 6 4 2 2 2" xfId="17584" xr:uid="{F562F1A2-8B50-4261-A49D-00004F0CF2C6}"/>
    <cellStyle name="Normal 8 6 4 2 2 3" xfId="26031" xr:uid="{C997E58A-A1D1-4365-9990-CFEE7F93833C}"/>
    <cellStyle name="Normal 8 6 4 2 3" xfId="13367" xr:uid="{5B89DC44-FB7B-4BB1-B058-A28A5170ED29}"/>
    <cellStyle name="Normal 8 6 4 2 4" xfId="21814" xr:uid="{75171CDB-0202-4E49-A1F5-D8822D0DC93D}"/>
    <cellStyle name="Normal 8 6 4 3" xfId="6113" xr:uid="{00000000-0005-0000-0000-0000531E0000}"/>
    <cellStyle name="Normal 8 6 4 3 2" xfId="15439" xr:uid="{5860F8ED-432D-43E9-8E5E-6238E3D6CA8E}"/>
    <cellStyle name="Normal 8 6 4 3 3" xfId="23886" xr:uid="{6FBFAAB6-E1F8-401B-8C78-D12B5184D1AA}"/>
    <cellStyle name="Normal 8 6 4 4" xfId="11222" xr:uid="{6110D4F0-0E7F-4E40-A45D-604540F67CC1}"/>
    <cellStyle name="Normal 8 6 4 5" xfId="19669" xr:uid="{42C2372E-5B9C-400E-B712-EDAB82E0F29D}"/>
    <cellStyle name="Normal 8 6 5" xfId="2220" xr:uid="{00000000-0005-0000-0000-0000541E0000}"/>
    <cellStyle name="Normal 8 6 5 2" xfId="4449" xr:uid="{00000000-0005-0000-0000-0000551E0000}"/>
    <cellStyle name="Normal 8 6 5 2 2" xfId="8671" xr:uid="{00000000-0005-0000-0000-0000561E0000}"/>
    <cellStyle name="Normal 8 6 5 2 2 2" xfId="17997" xr:uid="{09EE12DF-4460-4267-B336-2E006FA7734B}"/>
    <cellStyle name="Normal 8 6 5 2 2 3" xfId="26444" xr:uid="{7C7346E5-A00D-4B88-8400-8F361A996165}"/>
    <cellStyle name="Normal 8 6 5 2 3" xfId="13780" xr:uid="{F7806DE0-FFE6-4255-808E-06A73172D92E}"/>
    <cellStyle name="Normal 8 6 5 2 4" xfId="22227" xr:uid="{8E249EFE-C514-4BCD-B667-5EC29418067B}"/>
    <cellStyle name="Normal 8 6 5 3" xfId="6526" xr:uid="{00000000-0005-0000-0000-0000571E0000}"/>
    <cellStyle name="Normal 8 6 5 3 2" xfId="15852" xr:uid="{87745A08-6055-452A-B7F3-B9938D9AF74F}"/>
    <cellStyle name="Normal 8 6 5 3 3" xfId="24299" xr:uid="{F2015D19-FF2B-40C4-83A4-EB5478476C4C}"/>
    <cellStyle name="Normal 8 6 5 4" xfId="11635" xr:uid="{2E3F93C7-554A-47F2-9990-DEEB59C9DF67}"/>
    <cellStyle name="Normal 8 6 5 5" xfId="20082" xr:uid="{B628B02D-27FB-4562-BAA6-5F9FAB090D29}"/>
    <cellStyle name="Normal 8 6 6" xfId="2656" xr:uid="{00000000-0005-0000-0000-0000581E0000}"/>
    <cellStyle name="Normal 8 6 6 2" xfId="6939" xr:uid="{00000000-0005-0000-0000-0000591E0000}"/>
    <cellStyle name="Normal 8 6 6 2 2" xfId="16265" xr:uid="{83D6CC88-BAC8-430F-B1F7-D2DAC9A9A4BE}"/>
    <cellStyle name="Normal 8 6 6 2 3" xfId="24712" xr:uid="{667C38C9-1C5E-4B35-8459-7007E2F17954}"/>
    <cellStyle name="Normal 8 6 6 3" xfId="12048" xr:uid="{700C5304-0BE7-42FC-9EA1-F4E55EBC467B}"/>
    <cellStyle name="Normal 8 6 6 4" xfId="20495" xr:uid="{211BE69D-C0CB-4075-B3DF-DCA543A76A89}"/>
    <cellStyle name="Normal 8 6 7" xfId="4874" xr:uid="{00000000-0005-0000-0000-00005A1E0000}"/>
    <cellStyle name="Normal 8 6 7 2" xfId="14200" xr:uid="{072A37E7-B78F-4BB3-B3F3-A99CED27F633}"/>
    <cellStyle name="Normal 8 6 7 3" xfId="22647" xr:uid="{FB25DBD1-A93B-4CD3-98ED-2DD697CCD726}"/>
    <cellStyle name="Normal 8 6 8" xfId="8961" xr:uid="{36060843-7B38-46C3-B2F1-7172ECB11EEE}"/>
    <cellStyle name="Normal 8 6 9" xfId="9983" xr:uid="{098D6466-E776-4B65-B49D-9831D4B8DE60}"/>
    <cellStyle name="Normal 8 7" xfId="945" xr:uid="{00000000-0005-0000-0000-00005B1E0000}"/>
    <cellStyle name="Normal 8 7 2" xfId="3179" xr:uid="{00000000-0005-0000-0000-00005C1E0000}"/>
    <cellStyle name="Normal 8 7 2 2" xfId="7401" xr:uid="{00000000-0005-0000-0000-00005D1E0000}"/>
    <cellStyle name="Normal 8 7 2 2 2" xfId="16727" xr:uid="{EB9994DB-EF27-4182-8078-C33217F88E73}"/>
    <cellStyle name="Normal 8 7 2 2 3" xfId="25174" xr:uid="{0949C20F-D964-4A40-90E6-4634D47E07E5}"/>
    <cellStyle name="Normal 8 7 2 3" xfId="12510" xr:uid="{32F771F3-9A9D-47A5-BBCB-DF610C3089D6}"/>
    <cellStyle name="Normal 8 7 2 4" xfId="20957" xr:uid="{C11DE595-3EA3-469B-8866-383DA0E0E4BF}"/>
    <cellStyle name="Normal 8 7 3" xfId="5256" xr:uid="{00000000-0005-0000-0000-00005E1E0000}"/>
    <cellStyle name="Normal 8 7 3 2" xfId="14582" xr:uid="{02BE06B2-7A96-4990-9282-7F26AE495E12}"/>
    <cellStyle name="Normal 8 7 3 3" xfId="23029" xr:uid="{80A802B1-A979-4FB7-93A8-2C7679F2A04E}"/>
    <cellStyle name="Normal 8 7 4" xfId="9164" xr:uid="{EA2ADDDA-E9AC-4FF8-B08B-61B1D6489A46}"/>
    <cellStyle name="Normal 8 7 5" xfId="10365" xr:uid="{FBEE5B20-0141-475E-ADF2-99C3C268EED1}"/>
    <cellStyle name="Normal 8 7 6" xfId="18812" xr:uid="{161F0718-3E61-413B-90A1-41CBD9C6A70F}"/>
    <cellStyle name="Normal 8 8" xfId="1362" xr:uid="{00000000-0005-0000-0000-00005F1E0000}"/>
    <cellStyle name="Normal 8 8 2" xfId="3592" xr:uid="{00000000-0005-0000-0000-0000601E0000}"/>
    <cellStyle name="Normal 8 8 2 2" xfId="7814" xr:uid="{00000000-0005-0000-0000-0000611E0000}"/>
    <cellStyle name="Normal 8 8 2 2 2" xfId="17140" xr:uid="{86687EB2-74C3-4EA7-A3B4-6FDF67C94D4B}"/>
    <cellStyle name="Normal 8 8 2 2 3" xfId="25587" xr:uid="{625891AC-CC8E-47EA-82DF-AB3A8B87F005}"/>
    <cellStyle name="Normal 8 8 2 3" xfId="12923" xr:uid="{33487189-26E7-407C-BC44-1FAAB0895D38}"/>
    <cellStyle name="Normal 8 8 2 4" xfId="21370" xr:uid="{78926958-B51A-4BE9-A328-6F9E20D7001E}"/>
    <cellStyle name="Normal 8 8 3" xfId="5669" xr:uid="{00000000-0005-0000-0000-0000621E0000}"/>
    <cellStyle name="Normal 8 8 3 2" xfId="14995" xr:uid="{53BDE0EA-7ABB-4730-935D-9507CDF69586}"/>
    <cellStyle name="Normal 8 8 3 3" xfId="23442" xr:uid="{65AA5DC5-DCEF-4066-85BA-5C59367F95F7}"/>
    <cellStyle name="Normal 8 8 4" xfId="10778" xr:uid="{AC52A78A-0A95-4246-B1E3-BCE1B20372AC}"/>
    <cellStyle name="Normal 8 8 5" xfId="19225" xr:uid="{BE66188D-96FC-4E16-ABDC-49421CB3BA6E}"/>
    <cellStyle name="Normal 8 9" xfId="1775" xr:uid="{00000000-0005-0000-0000-0000631E0000}"/>
    <cellStyle name="Normal 8 9 2" xfId="4005" xr:uid="{00000000-0005-0000-0000-0000641E0000}"/>
    <cellStyle name="Normal 8 9 2 2" xfId="8227" xr:uid="{00000000-0005-0000-0000-0000651E0000}"/>
    <cellStyle name="Normal 8 9 2 2 2" xfId="17553" xr:uid="{DDC1CD3F-2DE0-4904-BF3D-C12A1C3C62D9}"/>
    <cellStyle name="Normal 8 9 2 2 3" xfId="26000" xr:uid="{099C71F2-57B8-4520-96E7-D5CD1087434E}"/>
    <cellStyle name="Normal 8 9 2 3" xfId="13336" xr:uid="{71D908CF-1A5C-4396-AFCF-802377C6F18B}"/>
    <cellStyle name="Normal 8 9 2 4" xfId="21783" xr:uid="{A2008D42-5BE1-4FF0-8A63-E7CDA4DD3D91}"/>
    <cellStyle name="Normal 8 9 3" xfId="6082" xr:uid="{00000000-0005-0000-0000-0000661E0000}"/>
    <cellStyle name="Normal 8 9 3 2" xfId="15408" xr:uid="{6D785456-4104-4666-B766-63D34557D103}"/>
    <cellStyle name="Normal 8 9 3 3" xfId="23855" xr:uid="{40DBAB81-7131-4E44-B6A5-52323C510C6D}"/>
    <cellStyle name="Normal 8 9 4" xfId="11191" xr:uid="{6E8E68D4-FC1B-45A6-AEC8-3828E67AA161}"/>
    <cellStyle name="Normal 8 9 5" xfId="19638" xr:uid="{8A33B759-C5C3-462F-84A5-921F6D4953C6}"/>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B7013C4A-F76A-4CCE-9736-D96482C83C7A}"/>
    <cellStyle name="Normal 9 2 10 2 3" xfId="24713" xr:uid="{977C886A-F7B3-4D6C-B664-2C70F7C7F244}"/>
    <cellStyle name="Normal 9 2 10 3" xfId="12049" xr:uid="{AB69F399-E70A-4F00-ABA3-C533A67B4588}"/>
    <cellStyle name="Normal 9 2 10 4" xfId="20496" xr:uid="{4E430892-D139-4281-B588-8E8624BCAA57}"/>
    <cellStyle name="Normal 9 2 11" xfId="4875" xr:uid="{00000000-0005-0000-0000-00006B1E0000}"/>
    <cellStyle name="Normal 9 2 11 2" xfId="14201" xr:uid="{C6AAF1DC-3176-4C9B-83D5-5BA1A237D50A}"/>
    <cellStyle name="Normal 9 2 11 3" xfId="22648" xr:uid="{6963BB1E-5310-491F-B4EE-E92D194C3F9C}"/>
    <cellStyle name="Normal 9 2 12" xfId="8754" xr:uid="{9024D06A-4C5F-4C89-BCDB-29B8C924FF52}"/>
    <cellStyle name="Normal 9 2 13" xfId="9984" xr:uid="{8616C9DC-57DA-423B-95FD-BCC12EDEA557}"/>
    <cellStyle name="Normal 9 2 14" xfId="18431" xr:uid="{1AAA876E-D094-48ED-BB14-B32D18C1B901}"/>
    <cellStyle name="Normal 9 2 2" xfId="512" xr:uid="{00000000-0005-0000-0000-00006C1E0000}"/>
    <cellStyle name="Normal 9 2 2 10" xfId="4876" xr:uid="{00000000-0005-0000-0000-00006D1E0000}"/>
    <cellStyle name="Normal 9 2 2 10 2" xfId="14202" xr:uid="{C9D71438-C090-474E-8377-16D7A6B69F35}"/>
    <cellStyle name="Normal 9 2 2 10 3" xfId="22649" xr:uid="{D75195F2-5860-48DB-A459-92EB23FB4921}"/>
    <cellStyle name="Normal 9 2 2 11" xfId="8785" xr:uid="{3048542E-ED39-45ED-9C91-0140D2CF60D9}"/>
    <cellStyle name="Normal 9 2 2 12" xfId="9985" xr:uid="{5A68D6DF-FDDB-45B6-BC79-80F9C92FAAC5}"/>
    <cellStyle name="Normal 9 2 2 13" xfId="18432" xr:uid="{1A06877D-6C1E-4AA5-B4C8-E9AA39ACAE17}"/>
    <cellStyle name="Normal 9 2 2 2" xfId="513" xr:uid="{00000000-0005-0000-0000-00006E1E0000}"/>
    <cellStyle name="Normal 9 2 2 2 10" xfId="8839" xr:uid="{3B2DC7F4-4F49-4AE2-9279-EFD4857A149B}"/>
    <cellStyle name="Normal 9 2 2 2 11" xfId="9986" xr:uid="{9E436982-5778-4556-BABE-83074B2D0B1D}"/>
    <cellStyle name="Normal 9 2 2 2 12" xfId="18433" xr:uid="{4DD03276-1F9A-49DA-9E1E-21890EAEA9F1}"/>
    <cellStyle name="Normal 9 2 2 2 2" xfId="514" xr:uid="{00000000-0005-0000-0000-00006F1E0000}"/>
    <cellStyle name="Normal 9 2 2 2 2 10" xfId="9987" xr:uid="{A25B3263-C946-4B45-BB89-B25343FAD669}"/>
    <cellStyle name="Normal 9 2 2 2 2 11" xfId="18434" xr:uid="{AC6F8866-E48E-4D70-BB24-5B87511540BE}"/>
    <cellStyle name="Normal 9 2 2 2 2 2" xfId="515" xr:uid="{00000000-0005-0000-0000-0000701E0000}"/>
    <cellStyle name="Normal 9 2 2 2 2 2 10" xfId="18435" xr:uid="{C93AE346-C67A-447E-AF89-48D62393E4CE}"/>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07D8E950-397E-4EFD-B003-F41101F1B689}"/>
    <cellStyle name="Normal 9 2 2 2 2 2 2 2 2 3" xfId="25210" xr:uid="{5AD1AE03-1E21-4F03-AB16-FCA2E651EE3A}"/>
    <cellStyle name="Normal 9 2 2 2 2 2 2 2 3" xfId="12546" xr:uid="{16A4F487-0432-4278-AC47-5369C6F8E7F6}"/>
    <cellStyle name="Normal 9 2 2 2 2 2 2 2 4" xfId="20993" xr:uid="{E502589D-F6EC-492D-AB57-5F3FE7A58270}"/>
    <cellStyle name="Normal 9 2 2 2 2 2 2 3" xfId="5292" xr:uid="{00000000-0005-0000-0000-0000741E0000}"/>
    <cellStyle name="Normal 9 2 2 2 2 2 2 3 2" xfId="14618" xr:uid="{DB8DE89C-DF49-4089-AB68-DD347E72174F}"/>
    <cellStyle name="Normal 9 2 2 2 2 2 2 3 3" xfId="23065" xr:uid="{4A2E74D7-532D-4F68-BCE8-0998F7DE9099}"/>
    <cellStyle name="Normal 9 2 2 2 2 2 2 4" xfId="9574" xr:uid="{00EB170D-8A20-4280-B781-E452C3590555}"/>
    <cellStyle name="Normal 9 2 2 2 2 2 2 5" xfId="10401" xr:uid="{3FBD099F-597A-4F70-8D1A-02B11A7352FB}"/>
    <cellStyle name="Normal 9 2 2 2 2 2 2 6" xfId="18848" xr:uid="{3989C3E0-4C2D-4910-947E-4737D35D622A}"/>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7ACEC1A0-CF33-40C7-9358-843C32C9413E}"/>
    <cellStyle name="Normal 9 2 2 2 2 2 3 2 2 3" xfId="25623" xr:uid="{8F31B8A7-D956-4D04-BC51-B446CC18952E}"/>
    <cellStyle name="Normal 9 2 2 2 2 2 3 2 3" xfId="12959" xr:uid="{4F6201DA-BCD6-4B69-9950-28B4331BC18A}"/>
    <cellStyle name="Normal 9 2 2 2 2 2 3 2 4" xfId="21406" xr:uid="{4CA4FEBB-2F9C-40DA-87FD-43C34D3AA54E}"/>
    <cellStyle name="Normal 9 2 2 2 2 2 3 3" xfId="5705" xr:uid="{00000000-0005-0000-0000-0000781E0000}"/>
    <cellStyle name="Normal 9 2 2 2 2 2 3 3 2" xfId="15031" xr:uid="{32A80D70-AB12-4DCE-A0C8-541964D82B02}"/>
    <cellStyle name="Normal 9 2 2 2 2 2 3 3 3" xfId="23478" xr:uid="{0F38CC84-85C1-4CE6-9D1F-50DA32C08B12}"/>
    <cellStyle name="Normal 9 2 2 2 2 2 3 4" xfId="10814" xr:uid="{A7A82751-88C5-4F0C-9312-9D8DDAC469BC}"/>
    <cellStyle name="Normal 9 2 2 2 2 2 3 5" xfId="19261" xr:uid="{2E197C19-6D1B-46BC-88CE-CDC64FD6CF7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067D9BFE-D731-4CBF-B835-C819EE7F38A8}"/>
    <cellStyle name="Normal 9 2 2 2 2 2 4 2 2 3" xfId="26036" xr:uid="{6AE50D1C-BF61-4167-8641-B6CF713FCDE9}"/>
    <cellStyle name="Normal 9 2 2 2 2 2 4 2 3" xfId="13372" xr:uid="{C6BAB0D9-64E7-4A83-95BC-FB514091CA74}"/>
    <cellStyle name="Normal 9 2 2 2 2 2 4 2 4" xfId="21819" xr:uid="{2505DCE9-C2E8-4E6C-9FD0-A93D4A088418}"/>
    <cellStyle name="Normal 9 2 2 2 2 2 4 3" xfId="6118" xr:uid="{00000000-0005-0000-0000-00007C1E0000}"/>
    <cellStyle name="Normal 9 2 2 2 2 2 4 3 2" xfId="15444" xr:uid="{E7716F63-1A40-4F30-BAB4-84264EF5B0EB}"/>
    <cellStyle name="Normal 9 2 2 2 2 2 4 3 3" xfId="23891" xr:uid="{0AF9592D-1DEB-429C-9D2C-09866C019784}"/>
    <cellStyle name="Normal 9 2 2 2 2 2 4 4" xfId="11227" xr:uid="{52FE16B4-0287-4E2C-8AE9-678F7AD0081B}"/>
    <cellStyle name="Normal 9 2 2 2 2 2 4 5" xfId="19674" xr:uid="{6CE27741-3AFE-4676-B782-00197F888EDF}"/>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56D228AF-D910-4CA8-B810-8DE168597DF9}"/>
    <cellStyle name="Normal 9 2 2 2 2 2 5 2 2 3" xfId="26449" xr:uid="{F7232DA5-D810-4C75-A108-8CF782151F75}"/>
    <cellStyle name="Normal 9 2 2 2 2 2 5 2 3" xfId="13785" xr:uid="{46734D72-F9DC-4B8A-91DB-FAEE86CBCE79}"/>
    <cellStyle name="Normal 9 2 2 2 2 2 5 2 4" xfId="22232" xr:uid="{2DE246E6-7288-49CD-B72D-95F6FAB292E2}"/>
    <cellStyle name="Normal 9 2 2 2 2 2 5 3" xfId="6531" xr:uid="{00000000-0005-0000-0000-0000801E0000}"/>
    <cellStyle name="Normal 9 2 2 2 2 2 5 3 2" xfId="15857" xr:uid="{0BA9BC55-F9EE-4C49-84F2-FB47686B3BDF}"/>
    <cellStyle name="Normal 9 2 2 2 2 2 5 3 3" xfId="24304" xr:uid="{7B414CDF-638F-4141-9872-5EB64D2E971C}"/>
    <cellStyle name="Normal 9 2 2 2 2 2 5 4" xfId="11640" xr:uid="{357A8ED4-54FF-431D-BD97-A2DCEA0F4297}"/>
    <cellStyle name="Normal 9 2 2 2 2 2 5 5" xfId="20087" xr:uid="{EA520199-AC50-431C-85F8-872D34547571}"/>
    <cellStyle name="Normal 9 2 2 2 2 2 6" xfId="2661" xr:uid="{00000000-0005-0000-0000-0000811E0000}"/>
    <cellStyle name="Normal 9 2 2 2 2 2 6 2" xfId="6944" xr:uid="{00000000-0005-0000-0000-0000821E0000}"/>
    <cellStyle name="Normal 9 2 2 2 2 2 6 2 2" xfId="16270" xr:uid="{0322384B-A174-487E-9339-1167A85B77F6}"/>
    <cellStyle name="Normal 9 2 2 2 2 2 6 2 3" xfId="24717" xr:uid="{D5771A38-CB12-414C-B3E6-5AA1152D9793}"/>
    <cellStyle name="Normal 9 2 2 2 2 2 6 3" xfId="12053" xr:uid="{F71D86F8-D96F-4AFF-83B9-AF24EF1291EB}"/>
    <cellStyle name="Normal 9 2 2 2 2 2 6 4" xfId="20500" xr:uid="{3A6347A2-7FA2-40BD-A0ED-9ED3F8D09CA8}"/>
    <cellStyle name="Normal 9 2 2 2 2 2 7" xfId="4879" xr:uid="{00000000-0005-0000-0000-0000831E0000}"/>
    <cellStyle name="Normal 9 2 2 2 2 2 7 2" xfId="14205" xr:uid="{B7C1D36F-884C-4DD8-95F0-FB37146C4B1E}"/>
    <cellStyle name="Normal 9 2 2 2 2 2 7 3" xfId="22652" xr:uid="{E0DB6EA8-AF55-41C5-A3BA-9ADAF293C26A}"/>
    <cellStyle name="Normal 9 2 2 2 2 2 8" xfId="9149" xr:uid="{6C0BEC1E-EE3B-4956-830C-8775C93DB46A}"/>
    <cellStyle name="Normal 9 2 2 2 2 2 9" xfId="9988" xr:uid="{AFACEDA4-796C-4B9C-A3B0-DFDE4B764F61}"/>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C8C6E80D-5024-459C-90F8-008B94EA11E9}"/>
    <cellStyle name="Normal 9 2 2 2 2 3 2 2 3" xfId="25209" xr:uid="{A67B38B8-88BA-4335-BC3C-92A842B3C70B}"/>
    <cellStyle name="Normal 9 2 2 2 2 3 2 3" xfId="12545" xr:uid="{B596336A-5ADA-4C2B-AE3D-AEB4BD381500}"/>
    <cellStyle name="Normal 9 2 2 2 2 3 2 4" xfId="20992" xr:uid="{178ED9A5-9289-4028-BD7C-F60DCDCF1062}"/>
    <cellStyle name="Normal 9 2 2 2 2 3 3" xfId="5291" xr:uid="{00000000-0005-0000-0000-0000871E0000}"/>
    <cellStyle name="Normal 9 2 2 2 2 3 3 2" xfId="14617" xr:uid="{6B033759-3079-4845-B46F-63B919BFE758}"/>
    <cellStyle name="Normal 9 2 2 2 2 3 3 3" xfId="23064" xr:uid="{43EC061B-828F-41E3-A85B-6544365209D4}"/>
    <cellStyle name="Normal 9 2 2 2 2 3 4" xfId="9367" xr:uid="{4A654E22-020A-4B0F-8753-639C44EA908A}"/>
    <cellStyle name="Normal 9 2 2 2 2 3 5" xfId="10400" xr:uid="{201939E7-18BD-4EC9-AF6B-1075D27F192A}"/>
    <cellStyle name="Normal 9 2 2 2 2 3 6" xfId="18847" xr:uid="{E23CB4D7-4075-434A-AE52-93882B81A84E}"/>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AD05399F-5B9C-44A0-8BE9-39623D242D62}"/>
    <cellStyle name="Normal 9 2 2 2 2 4 2 2 3" xfId="25622" xr:uid="{41B38927-CE66-4E67-A648-D79433757DB2}"/>
    <cellStyle name="Normal 9 2 2 2 2 4 2 3" xfId="12958" xr:uid="{B6ABE66B-B849-4E68-B5D0-F3256CB774F7}"/>
    <cellStyle name="Normal 9 2 2 2 2 4 2 4" xfId="21405" xr:uid="{28F19916-4CF5-40FE-A9E1-3750452D3179}"/>
    <cellStyle name="Normal 9 2 2 2 2 4 3" xfId="5704" xr:uid="{00000000-0005-0000-0000-00008B1E0000}"/>
    <cellStyle name="Normal 9 2 2 2 2 4 3 2" xfId="15030" xr:uid="{C75E971C-F730-45B8-A000-7E7F135EB027}"/>
    <cellStyle name="Normal 9 2 2 2 2 4 3 3" xfId="23477" xr:uid="{D56D879C-B295-458B-8934-484D09D9D782}"/>
    <cellStyle name="Normal 9 2 2 2 2 4 4" xfId="10813" xr:uid="{4A267B3C-9041-47B2-ADF1-AC21D6FCA71A}"/>
    <cellStyle name="Normal 9 2 2 2 2 4 5" xfId="19260" xr:uid="{7A972197-C84B-406B-BF73-90C95874EFF9}"/>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C32A798F-48FF-40D6-BDA3-2C3EA2E91ED0}"/>
    <cellStyle name="Normal 9 2 2 2 2 5 2 2 3" xfId="26035" xr:uid="{64FE56AB-B25D-4168-9D32-E69F889C7B53}"/>
    <cellStyle name="Normal 9 2 2 2 2 5 2 3" xfId="13371" xr:uid="{7B6A8F5B-D604-4D81-AF78-D0F3F01BAFC9}"/>
    <cellStyle name="Normal 9 2 2 2 2 5 2 4" xfId="21818" xr:uid="{9E2AF56E-3C32-4B03-8928-F5999C8706AF}"/>
    <cellStyle name="Normal 9 2 2 2 2 5 3" xfId="6117" xr:uid="{00000000-0005-0000-0000-00008F1E0000}"/>
    <cellStyle name="Normal 9 2 2 2 2 5 3 2" xfId="15443" xr:uid="{5D2F64A5-6244-4FB2-B1D5-D4AC5F951F70}"/>
    <cellStyle name="Normal 9 2 2 2 2 5 3 3" xfId="23890" xr:uid="{37A1A32B-C76E-460C-AA3F-C699688C8FFB}"/>
    <cellStyle name="Normal 9 2 2 2 2 5 4" xfId="11226" xr:uid="{34BE01D4-747D-4458-89B0-1C9800A4B65C}"/>
    <cellStyle name="Normal 9 2 2 2 2 5 5" xfId="19673" xr:uid="{39136D23-5D48-4CFB-A57B-92C79F8918EA}"/>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A41C7C44-6EA4-421B-BCE8-74BDC41770E3}"/>
    <cellStyle name="Normal 9 2 2 2 2 6 2 2 3" xfId="26448" xr:uid="{B82493F0-9E1D-4935-8377-CE3980CA4AE8}"/>
    <cellStyle name="Normal 9 2 2 2 2 6 2 3" xfId="13784" xr:uid="{A2E38B2C-2B0F-4E02-B191-921CA337E845}"/>
    <cellStyle name="Normal 9 2 2 2 2 6 2 4" xfId="22231" xr:uid="{BE076999-E6B7-4E0F-B362-125678274AF0}"/>
    <cellStyle name="Normal 9 2 2 2 2 6 3" xfId="6530" xr:uid="{00000000-0005-0000-0000-0000931E0000}"/>
    <cellStyle name="Normal 9 2 2 2 2 6 3 2" xfId="15856" xr:uid="{E214DF55-998C-4D3A-8E7F-D867DB0F778C}"/>
    <cellStyle name="Normal 9 2 2 2 2 6 3 3" xfId="24303" xr:uid="{7F6DB648-BB29-4EDD-8595-A2E7B5A2EA83}"/>
    <cellStyle name="Normal 9 2 2 2 2 6 4" xfId="11639" xr:uid="{3CBF88DD-B5EA-42D2-995E-0F5E87119488}"/>
    <cellStyle name="Normal 9 2 2 2 2 6 5" xfId="20086" xr:uid="{00B6A535-4B11-4CE6-9EDD-1B9F9C540869}"/>
    <cellStyle name="Normal 9 2 2 2 2 7" xfId="2660" xr:uid="{00000000-0005-0000-0000-0000941E0000}"/>
    <cellStyle name="Normal 9 2 2 2 2 7 2" xfId="6943" xr:uid="{00000000-0005-0000-0000-0000951E0000}"/>
    <cellStyle name="Normal 9 2 2 2 2 7 2 2" xfId="16269" xr:uid="{4CCEED92-791C-4FE5-BAAD-7C20AA320839}"/>
    <cellStyle name="Normal 9 2 2 2 2 7 2 3" xfId="24716" xr:uid="{E2681180-3718-4312-BC3B-104D952DC82C}"/>
    <cellStyle name="Normal 9 2 2 2 2 7 3" xfId="12052" xr:uid="{566173E9-B6F5-4FE3-8493-AADB1348D81A}"/>
    <cellStyle name="Normal 9 2 2 2 2 7 4" xfId="20499" xr:uid="{978DFC2F-8DBA-4D5B-BD0A-2B83F79A887D}"/>
    <cellStyle name="Normal 9 2 2 2 2 8" xfId="4878" xr:uid="{00000000-0005-0000-0000-0000961E0000}"/>
    <cellStyle name="Normal 9 2 2 2 2 8 2" xfId="14204" xr:uid="{0AD1929B-F4DD-459C-9C50-BF6377463293}"/>
    <cellStyle name="Normal 9 2 2 2 2 8 3" xfId="22651" xr:uid="{5036DC06-41C5-468C-B433-600C06C455F1}"/>
    <cellStyle name="Normal 9 2 2 2 2 9" xfId="8942" xr:uid="{0DE8A022-819C-4D6A-B102-31C1C7F429A5}"/>
    <cellStyle name="Normal 9 2 2 2 3" xfId="516" xr:uid="{00000000-0005-0000-0000-0000971E0000}"/>
    <cellStyle name="Normal 9 2 2 2 3 10" xfId="18436" xr:uid="{5175D8DB-299A-4B71-8AB6-7B3FC26BE5EB}"/>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FAB6F744-398A-4D1F-BC0F-68BC533D7B9B}"/>
    <cellStyle name="Normal 9 2 2 2 3 2 2 2 3" xfId="25211" xr:uid="{2EDC9912-93F9-48F8-B9B4-9C0EB069A51B}"/>
    <cellStyle name="Normal 9 2 2 2 3 2 2 3" xfId="12547" xr:uid="{9860AA58-4970-4AEE-8152-A2739BAE6A4F}"/>
    <cellStyle name="Normal 9 2 2 2 3 2 2 4" xfId="20994" xr:uid="{33C5822F-CE71-4B38-8584-0D297080F7D6}"/>
    <cellStyle name="Normal 9 2 2 2 3 2 3" xfId="5293" xr:uid="{00000000-0005-0000-0000-00009B1E0000}"/>
    <cellStyle name="Normal 9 2 2 2 3 2 3 2" xfId="14619" xr:uid="{6605008A-1796-4065-9C9D-C09A354E25C0}"/>
    <cellStyle name="Normal 9 2 2 2 3 2 3 3" xfId="23066" xr:uid="{3657387D-5B11-4124-8157-98E29DD93384}"/>
    <cellStyle name="Normal 9 2 2 2 3 2 4" xfId="9471" xr:uid="{E472D827-532E-42C0-B781-9E63FEBCFCF5}"/>
    <cellStyle name="Normal 9 2 2 2 3 2 5" xfId="10402" xr:uid="{26982105-EAF0-4DB6-99EC-F329A8068AF1}"/>
    <cellStyle name="Normal 9 2 2 2 3 2 6" xfId="18849" xr:uid="{31EFB892-097A-429B-9842-B5923E31B437}"/>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90FF4769-D7E3-4EAB-ADF9-EF973FF9CD87}"/>
    <cellStyle name="Normal 9 2 2 2 3 3 2 2 3" xfId="25624" xr:uid="{2667E918-5435-4184-A847-D749E10F1757}"/>
    <cellStyle name="Normal 9 2 2 2 3 3 2 3" xfId="12960" xr:uid="{AE22EE36-7561-4525-810D-659957FA43C1}"/>
    <cellStyle name="Normal 9 2 2 2 3 3 2 4" xfId="21407" xr:uid="{EC37D8E9-648C-4E29-9EA5-C5B7AD3699DF}"/>
    <cellStyle name="Normal 9 2 2 2 3 3 3" xfId="5706" xr:uid="{00000000-0005-0000-0000-00009F1E0000}"/>
    <cellStyle name="Normal 9 2 2 2 3 3 3 2" xfId="15032" xr:uid="{92AC2F5E-9839-49A1-AA9D-F1DDDEC67AF6}"/>
    <cellStyle name="Normal 9 2 2 2 3 3 3 3" xfId="23479" xr:uid="{D37A6BC9-4153-4D02-A4E9-EF93967ECD10}"/>
    <cellStyle name="Normal 9 2 2 2 3 3 4" xfId="10815" xr:uid="{CD25662D-FE96-4BD7-A1BD-56FBDFA33E88}"/>
    <cellStyle name="Normal 9 2 2 2 3 3 5" xfId="19262" xr:uid="{D979E797-09EC-4408-A96A-B6C81BA6B6B8}"/>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761DAD7F-EBEB-472F-9258-803A68B2B806}"/>
    <cellStyle name="Normal 9 2 2 2 3 4 2 2 3" xfId="26037" xr:uid="{BFFF4763-1728-4AE4-81EC-525D651E589D}"/>
    <cellStyle name="Normal 9 2 2 2 3 4 2 3" xfId="13373" xr:uid="{B545405B-6061-4FB1-A994-F7CFAE1C7E5C}"/>
    <cellStyle name="Normal 9 2 2 2 3 4 2 4" xfId="21820" xr:uid="{874F9A21-EFAE-4BBF-A562-6626749EAE00}"/>
    <cellStyle name="Normal 9 2 2 2 3 4 3" xfId="6119" xr:uid="{00000000-0005-0000-0000-0000A31E0000}"/>
    <cellStyle name="Normal 9 2 2 2 3 4 3 2" xfId="15445" xr:uid="{05A577A8-6E1E-4858-A085-3E1D56E6C61F}"/>
    <cellStyle name="Normal 9 2 2 2 3 4 3 3" xfId="23892" xr:uid="{E592CF09-FDC3-4D8E-B240-9E971F15A9B6}"/>
    <cellStyle name="Normal 9 2 2 2 3 4 4" xfId="11228" xr:uid="{B2F71E87-ECF4-4F93-B89A-0B98125E767D}"/>
    <cellStyle name="Normal 9 2 2 2 3 4 5" xfId="19675" xr:uid="{93CA1946-CC86-4BAE-A43F-39A1EA481C1C}"/>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17E66A0F-B3E3-4982-B2EE-DC48E0D93C64}"/>
    <cellStyle name="Normal 9 2 2 2 3 5 2 2 3" xfId="26450" xr:uid="{A4EAEB75-C4C8-4FE5-8637-2693777C0EF5}"/>
    <cellStyle name="Normal 9 2 2 2 3 5 2 3" xfId="13786" xr:uid="{A4698049-CD0E-4174-86BE-72BB3EA4F687}"/>
    <cellStyle name="Normal 9 2 2 2 3 5 2 4" xfId="22233" xr:uid="{39904530-81C3-41E8-B162-1B6694499A22}"/>
    <cellStyle name="Normal 9 2 2 2 3 5 3" xfId="6532" xr:uid="{00000000-0005-0000-0000-0000A71E0000}"/>
    <cellStyle name="Normal 9 2 2 2 3 5 3 2" xfId="15858" xr:uid="{4D6C4BED-55B4-4E5F-B180-9B7B7D7A3DFD}"/>
    <cellStyle name="Normal 9 2 2 2 3 5 3 3" xfId="24305" xr:uid="{507A867F-91B3-404A-BFB8-7C34E4CE398C}"/>
    <cellStyle name="Normal 9 2 2 2 3 5 4" xfId="11641" xr:uid="{9044F8DB-F446-44D2-B972-AF002C4C7C14}"/>
    <cellStyle name="Normal 9 2 2 2 3 5 5" xfId="20088" xr:uid="{86990E8C-EC19-4387-8F9D-9FEB68B844FE}"/>
    <cellStyle name="Normal 9 2 2 2 3 6" xfId="2662" xr:uid="{00000000-0005-0000-0000-0000A81E0000}"/>
    <cellStyle name="Normal 9 2 2 2 3 6 2" xfId="6945" xr:uid="{00000000-0005-0000-0000-0000A91E0000}"/>
    <cellStyle name="Normal 9 2 2 2 3 6 2 2" xfId="16271" xr:uid="{3733D0C2-F60D-4E41-A168-FAAE75EE0F9F}"/>
    <cellStyle name="Normal 9 2 2 2 3 6 2 3" xfId="24718" xr:uid="{E2763FA1-1903-40FC-8B4B-B9C52518B483}"/>
    <cellStyle name="Normal 9 2 2 2 3 6 3" xfId="12054" xr:uid="{08F166FA-7247-47CF-8473-C9746619AA4F}"/>
    <cellStyle name="Normal 9 2 2 2 3 6 4" xfId="20501" xr:uid="{481F8258-CE5B-484A-AC18-9EC18015A0B1}"/>
    <cellStyle name="Normal 9 2 2 2 3 7" xfId="4880" xr:uid="{00000000-0005-0000-0000-0000AA1E0000}"/>
    <cellStyle name="Normal 9 2 2 2 3 7 2" xfId="14206" xr:uid="{A0C42DEC-CCF4-4CEA-B194-117C03123DEA}"/>
    <cellStyle name="Normal 9 2 2 2 3 7 3" xfId="22653" xr:uid="{AEB9BAD1-C169-437C-B5CD-4388A7028F83}"/>
    <cellStyle name="Normal 9 2 2 2 3 8" xfId="9046" xr:uid="{6B7E07C7-E90B-4AE9-8FE8-76EF28E8FC85}"/>
    <cellStyle name="Normal 9 2 2 2 3 9" xfId="9989" xr:uid="{C4C58BD5-33AB-4AB6-A8FB-F87D0D314AF1}"/>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8E2DB0FE-4CFC-4E07-BB6C-297DC839F0EB}"/>
    <cellStyle name="Normal 9 2 2 2 4 2 2 3" xfId="25208" xr:uid="{5C0724AC-E915-4C8A-96AC-5355DF2E94B7}"/>
    <cellStyle name="Normal 9 2 2 2 4 2 3" xfId="12544" xr:uid="{6655B26A-CAF8-4C6D-9A15-75E785A916EB}"/>
    <cellStyle name="Normal 9 2 2 2 4 2 4" xfId="20991" xr:uid="{A2D26689-5A6A-4440-9807-74D4D737C479}"/>
    <cellStyle name="Normal 9 2 2 2 4 3" xfId="5290" xr:uid="{00000000-0005-0000-0000-0000AE1E0000}"/>
    <cellStyle name="Normal 9 2 2 2 4 3 2" xfId="14616" xr:uid="{34285DA3-BF04-46DA-B46A-16F012A6A04A}"/>
    <cellStyle name="Normal 9 2 2 2 4 3 3" xfId="23063" xr:uid="{3ED762BD-DA1B-4162-9989-5551C23BDC84}"/>
    <cellStyle name="Normal 9 2 2 2 4 4" xfId="9264" xr:uid="{0137E036-48D9-4B3B-9B73-0002A19DDE9E}"/>
    <cellStyle name="Normal 9 2 2 2 4 5" xfId="10399" xr:uid="{E4681177-9F3C-47FE-9F75-35B93E68312A}"/>
    <cellStyle name="Normal 9 2 2 2 4 6" xfId="18846" xr:uid="{F5814299-E7B3-4348-B0B3-74C601C488F9}"/>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517C286B-D4F0-4FB5-A4BE-2F528E865D71}"/>
    <cellStyle name="Normal 9 2 2 2 5 2 2 3" xfId="25621" xr:uid="{E712F1AD-2335-4B81-BC60-8AB2EAA0A9E7}"/>
    <cellStyle name="Normal 9 2 2 2 5 2 3" xfId="12957" xr:uid="{2EE81FCC-2A82-474C-B2CB-CB3424D17AE1}"/>
    <cellStyle name="Normal 9 2 2 2 5 2 4" xfId="21404" xr:uid="{3F5DFDB6-2888-4768-BB6B-2549AF54B11B}"/>
    <cellStyle name="Normal 9 2 2 2 5 3" xfId="5703" xr:uid="{00000000-0005-0000-0000-0000B21E0000}"/>
    <cellStyle name="Normal 9 2 2 2 5 3 2" xfId="15029" xr:uid="{097F6E26-7912-43C5-8CF4-7DC4A147BEF0}"/>
    <cellStyle name="Normal 9 2 2 2 5 3 3" xfId="23476" xr:uid="{A18CD0AE-2BC9-4BA6-BCDB-30086FE888BE}"/>
    <cellStyle name="Normal 9 2 2 2 5 4" xfId="10812" xr:uid="{716B609B-6154-4201-8CB4-A825E58C7379}"/>
    <cellStyle name="Normal 9 2 2 2 5 5" xfId="19259" xr:uid="{A26D105F-A4E8-47A1-A08B-1CC7DB75B0CF}"/>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8BBD9607-1089-4DA3-8828-D81E1ADBA4D7}"/>
    <cellStyle name="Normal 9 2 2 2 6 2 2 3" xfId="26034" xr:uid="{A80AB31A-5320-4EB0-9F73-DD3DF6C5A78D}"/>
    <cellStyle name="Normal 9 2 2 2 6 2 3" xfId="13370" xr:uid="{24B855A9-1D50-42ED-86F8-4803B460E983}"/>
    <cellStyle name="Normal 9 2 2 2 6 2 4" xfId="21817" xr:uid="{8BD654C3-FF2B-45AA-BB1D-7A519DC294F3}"/>
    <cellStyle name="Normal 9 2 2 2 6 3" xfId="6116" xr:uid="{00000000-0005-0000-0000-0000B61E0000}"/>
    <cellStyle name="Normal 9 2 2 2 6 3 2" xfId="15442" xr:uid="{EF47E268-489E-4326-BC11-738F3C4882E5}"/>
    <cellStyle name="Normal 9 2 2 2 6 3 3" xfId="23889" xr:uid="{A1BF88BE-0EE4-4EC8-9B7E-30352647E27F}"/>
    <cellStyle name="Normal 9 2 2 2 6 4" xfId="11225" xr:uid="{1CCC6FE2-FA9C-4917-B97B-705439EF5069}"/>
    <cellStyle name="Normal 9 2 2 2 6 5" xfId="19672" xr:uid="{D2165B87-554F-4E1B-9CFB-D71E444CFFC5}"/>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3DC57852-FCFA-4B84-9FAC-AADA971A75F7}"/>
    <cellStyle name="Normal 9 2 2 2 7 2 2 3" xfId="26447" xr:uid="{D558AD58-F1F8-4A4D-A728-AC5102F40B63}"/>
    <cellStyle name="Normal 9 2 2 2 7 2 3" xfId="13783" xr:uid="{66FF5E00-852A-465A-8B58-F16CF967F1A6}"/>
    <cellStyle name="Normal 9 2 2 2 7 2 4" xfId="22230" xr:uid="{73B04369-EEF5-425A-BDB8-788F2EC918E1}"/>
    <cellStyle name="Normal 9 2 2 2 7 3" xfId="6529" xr:uid="{00000000-0005-0000-0000-0000BA1E0000}"/>
    <cellStyle name="Normal 9 2 2 2 7 3 2" xfId="15855" xr:uid="{7938476B-594B-4EDE-A090-5BA28EDC53AA}"/>
    <cellStyle name="Normal 9 2 2 2 7 3 3" xfId="24302" xr:uid="{F80B274F-3A5D-4D8C-B440-C821CBB3D1D4}"/>
    <cellStyle name="Normal 9 2 2 2 7 4" xfId="11638" xr:uid="{E936E934-3CE8-4359-BB4D-44A79A1D88B2}"/>
    <cellStyle name="Normal 9 2 2 2 7 5" xfId="20085" xr:uid="{8EF09090-2502-4D73-BF28-2B71B14F95D8}"/>
    <cellStyle name="Normal 9 2 2 2 8" xfId="2659" xr:uid="{00000000-0005-0000-0000-0000BB1E0000}"/>
    <cellStyle name="Normal 9 2 2 2 8 2" xfId="6942" xr:uid="{00000000-0005-0000-0000-0000BC1E0000}"/>
    <cellStyle name="Normal 9 2 2 2 8 2 2" xfId="16268" xr:uid="{A8C072B8-23CB-403E-B374-D97C0F4B1DF0}"/>
    <cellStyle name="Normal 9 2 2 2 8 2 3" xfId="24715" xr:uid="{26898133-2596-4758-8C80-D8201157647B}"/>
    <cellStyle name="Normal 9 2 2 2 8 3" xfId="12051" xr:uid="{92F9CE03-F90E-4CAD-8A22-F5D48D9DCF45}"/>
    <cellStyle name="Normal 9 2 2 2 8 4" xfId="20498" xr:uid="{E6B037E9-CBFD-4B4A-88BE-A2C0556FDC6E}"/>
    <cellStyle name="Normal 9 2 2 2 9" xfId="4877" xr:uid="{00000000-0005-0000-0000-0000BD1E0000}"/>
    <cellStyle name="Normal 9 2 2 2 9 2" xfId="14203" xr:uid="{39941250-2983-43CB-9838-DE4782B0904E}"/>
    <cellStyle name="Normal 9 2 2 2 9 3" xfId="22650" xr:uid="{F2BE68AA-0E4B-4F9F-AAB6-E1C702E8D939}"/>
    <cellStyle name="Normal 9 2 2 3" xfId="517" xr:uid="{00000000-0005-0000-0000-0000BE1E0000}"/>
    <cellStyle name="Normal 9 2 2 3 10" xfId="9990" xr:uid="{F57DDD1A-388E-4A3D-B8D9-09ADA7F7CCB1}"/>
    <cellStyle name="Normal 9 2 2 3 11" xfId="18437" xr:uid="{49FFF359-CF2F-4AF4-8FBB-1B86E5297BBC}"/>
    <cellStyle name="Normal 9 2 2 3 2" xfId="518" xr:uid="{00000000-0005-0000-0000-0000BF1E0000}"/>
    <cellStyle name="Normal 9 2 2 3 2 10" xfId="18438" xr:uid="{B2483B0B-89A1-41CF-BDB2-718592395328}"/>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7C104352-A9C8-4054-8B34-6ED069F2BA25}"/>
    <cellStyle name="Normal 9 2 2 3 2 2 2 2 3" xfId="25213" xr:uid="{71529CD5-187A-48FD-BFFA-0F67AF75DF61}"/>
    <cellStyle name="Normal 9 2 2 3 2 2 2 3" xfId="12549" xr:uid="{A5AB23EA-4CCC-4EFC-AB58-D8B541919A6C}"/>
    <cellStyle name="Normal 9 2 2 3 2 2 2 4" xfId="20996" xr:uid="{BDD487CD-9BEF-48D8-A69F-C757DE83CCA1}"/>
    <cellStyle name="Normal 9 2 2 3 2 2 3" xfId="5295" xr:uid="{00000000-0005-0000-0000-0000C31E0000}"/>
    <cellStyle name="Normal 9 2 2 3 2 2 3 2" xfId="14621" xr:uid="{DA40A1D8-3F70-4B66-8B10-ACDE1D18193A}"/>
    <cellStyle name="Normal 9 2 2 3 2 2 3 3" xfId="23068" xr:uid="{89A9D52A-18E3-4C0C-9B18-2C09F6045B7C}"/>
    <cellStyle name="Normal 9 2 2 3 2 2 4" xfId="9520" xr:uid="{57CFBD10-691F-4DF8-8020-B75E98FF60DD}"/>
    <cellStyle name="Normal 9 2 2 3 2 2 5" xfId="10404" xr:uid="{E981C0E8-43DB-4229-8CB4-DC5649F71008}"/>
    <cellStyle name="Normal 9 2 2 3 2 2 6" xfId="18851" xr:uid="{8CAEEC5C-B942-4326-901B-55AD48625CDA}"/>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8725E2F9-26D6-48F2-8329-EF4BC3F00CFE}"/>
    <cellStyle name="Normal 9 2 2 3 2 3 2 2 3" xfId="25626" xr:uid="{910C5FD4-24AF-4351-8506-D297451DA985}"/>
    <cellStyle name="Normal 9 2 2 3 2 3 2 3" xfId="12962" xr:uid="{5E491224-97A6-48EE-88D4-448E168D532F}"/>
    <cellStyle name="Normal 9 2 2 3 2 3 2 4" xfId="21409" xr:uid="{EAC8E7E0-03FC-4A87-8E0A-825812C5B313}"/>
    <cellStyle name="Normal 9 2 2 3 2 3 3" xfId="5708" xr:uid="{00000000-0005-0000-0000-0000C71E0000}"/>
    <cellStyle name="Normal 9 2 2 3 2 3 3 2" xfId="15034" xr:uid="{440D86EA-12A1-4E33-9D2C-75F987A7668B}"/>
    <cellStyle name="Normal 9 2 2 3 2 3 3 3" xfId="23481" xr:uid="{ED1F64BF-8526-4FCE-B7CB-4AC205352713}"/>
    <cellStyle name="Normal 9 2 2 3 2 3 4" xfId="10817" xr:uid="{11785CC3-F3C4-4820-BFB6-0273A1D5B521}"/>
    <cellStyle name="Normal 9 2 2 3 2 3 5" xfId="19264" xr:uid="{48B646F7-055C-4433-9CCB-2E0294E9F242}"/>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A9841B35-3CD2-4903-9038-84982E94B55C}"/>
    <cellStyle name="Normal 9 2 2 3 2 4 2 2 3" xfId="26039" xr:uid="{B7E8BCD2-3580-43D0-8196-A28968F8765A}"/>
    <cellStyle name="Normal 9 2 2 3 2 4 2 3" xfId="13375" xr:uid="{06899887-00A7-4377-A771-A9B19E0FF5E9}"/>
    <cellStyle name="Normal 9 2 2 3 2 4 2 4" xfId="21822" xr:uid="{D80E64C2-A4D3-4018-8DD9-FE6338C94D58}"/>
    <cellStyle name="Normal 9 2 2 3 2 4 3" xfId="6121" xr:uid="{00000000-0005-0000-0000-0000CB1E0000}"/>
    <cellStyle name="Normal 9 2 2 3 2 4 3 2" xfId="15447" xr:uid="{013F9386-E0F3-4016-91E2-BBE4B5D4A548}"/>
    <cellStyle name="Normal 9 2 2 3 2 4 3 3" xfId="23894" xr:uid="{9CC84FEC-AAF6-47C8-A960-784D4E6DA07F}"/>
    <cellStyle name="Normal 9 2 2 3 2 4 4" xfId="11230" xr:uid="{B0FA6879-65A7-40AD-8674-8598B6B55779}"/>
    <cellStyle name="Normal 9 2 2 3 2 4 5" xfId="19677" xr:uid="{B2177437-8757-415F-9321-004E10C27DAD}"/>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B923344C-4898-496A-8D77-0E0597B19C65}"/>
    <cellStyle name="Normal 9 2 2 3 2 5 2 2 3" xfId="26452" xr:uid="{047BFE05-1852-4F4C-A3B7-CB082FEC7405}"/>
    <cellStyle name="Normal 9 2 2 3 2 5 2 3" xfId="13788" xr:uid="{D9C95759-8BAF-45EA-9B2B-18A829792F8E}"/>
    <cellStyle name="Normal 9 2 2 3 2 5 2 4" xfId="22235" xr:uid="{42BCBE59-4CEA-410F-8B90-81CF7EFE183F}"/>
    <cellStyle name="Normal 9 2 2 3 2 5 3" xfId="6534" xr:uid="{00000000-0005-0000-0000-0000CF1E0000}"/>
    <cellStyle name="Normal 9 2 2 3 2 5 3 2" xfId="15860" xr:uid="{8F516C12-5005-4929-A08E-13F600179FAC}"/>
    <cellStyle name="Normal 9 2 2 3 2 5 3 3" xfId="24307" xr:uid="{1FC586FC-C90F-4F55-B8F4-CCFFB31DEB45}"/>
    <cellStyle name="Normal 9 2 2 3 2 5 4" xfId="11643" xr:uid="{D4DF98A8-2DC8-4E14-8604-78E8F7583D65}"/>
    <cellStyle name="Normal 9 2 2 3 2 5 5" xfId="20090" xr:uid="{DD596E19-C070-4922-A1BE-04EEAB904A63}"/>
    <cellStyle name="Normal 9 2 2 3 2 6" xfId="2664" xr:uid="{00000000-0005-0000-0000-0000D01E0000}"/>
    <cellStyle name="Normal 9 2 2 3 2 6 2" xfId="6947" xr:uid="{00000000-0005-0000-0000-0000D11E0000}"/>
    <cellStyle name="Normal 9 2 2 3 2 6 2 2" xfId="16273" xr:uid="{B18C1263-CB79-4269-A2D1-CF3131E5C4DD}"/>
    <cellStyle name="Normal 9 2 2 3 2 6 2 3" xfId="24720" xr:uid="{8FE3EFE5-AEC0-4C0E-9690-161411F3DED4}"/>
    <cellStyle name="Normal 9 2 2 3 2 6 3" xfId="12056" xr:uid="{0478CF74-73BB-40B6-81E4-F091268FC7FF}"/>
    <cellStyle name="Normal 9 2 2 3 2 6 4" xfId="20503" xr:uid="{09BCC010-4033-4B86-BC49-11F82D2BC768}"/>
    <cellStyle name="Normal 9 2 2 3 2 7" xfId="4882" xr:uid="{00000000-0005-0000-0000-0000D21E0000}"/>
    <cellStyle name="Normal 9 2 2 3 2 7 2" xfId="14208" xr:uid="{AE9AE7DF-D188-455C-BF32-793BFA667326}"/>
    <cellStyle name="Normal 9 2 2 3 2 7 3" xfId="22655" xr:uid="{1FCB02A9-43A6-4CD8-A2CE-BAB24EEF17F0}"/>
    <cellStyle name="Normal 9 2 2 3 2 8" xfId="9095" xr:uid="{D95088B7-D227-4E97-A9B9-DA61436DD386}"/>
    <cellStyle name="Normal 9 2 2 3 2 9" xfId="9991" xr:uid="{91A6BDDA-2299-438E-AF63-9879758C1E9B}"/>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42348A93-C085-4ACC-9A7B-31DCF20B0251}"/>
    <cellStyle name="Normal 9 2 2 3 3 2 2 3" xfId="25212" xr:uid="{508697F5-45C3-4F88-A67D-E66301B4BA4C}"/>
    <cellStyle name="Normal 9 2 2 3 3 2 3" xfId="12548" xr:uid="{8E0DEA6C-86B2-4B50-96B5-15E258C65300}"/>
    <cellStyle name="Normal 9 2 2 3 3 2 4" xfId="20995" xr:uid="{960CEE5E-6E57-48DC-8D4D-DF4EFF144493}"/>
    <cellStyle name="Normal 9 2 2 3 3 3" xfId="5294" xr:uid="{00000000-0005-0000-0000-0000D61E0000}"/>
    <cellStyle name="Normal 9 2 2 3 3 3 2" xfId="14620" xr:uid="{1B6518C1-12EA-4E10-B0D8-1A7BC5529B00}"/>
    <cellStyle name="Normal 9 2 2 3 3 3 3" xfId="23067" xr:uid="{5E09A557-7F55-46B1-BE50-C8475DDA0822}"/>
    <cellStyle name="Normal 9 2 2 3 3 4" xfId="9313" xr:uid="{FDDC600D-FDDD-4FFC-9820-DFD7E0768F33}"/>
    <cellStyle name="Normal 9 2 2 3 3 5" xfId="10403" xr:uid="{26DC0096-C4FA-47DC-8AD7-F1CE262F38AA}"/>
    <cellStyle name="Normal 9 2 2 3 3 6" xfId="18850" xr:uid="{E7773E04-95A7-4F34-B7FB-F12EBE753722}"/>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F11858D3-5FCD-452F-88A9-F725699D3F14}"/>
    <cellStyle name="Normal 9 2 2 3 4 2 2 3" xfId="25625" xr:uid="{9BC86505-25D8-4247-B441-5588B3338965}"/>
    <cellStyle name="Normal 9 2 2 3 4 2 3" xfId="12961" xr:uid="{1772538D-671B-49CD-8E1E-E3E21638B079}"/>
    <cellStyle name="Normal 9 2 2 3 4 2 4" xfId="21408" xr:uid="{87A1C856-6441-4FFE-83C9-2569AD092EB9}"/>
    <cellStyle name="Normal 9 2 2 3 4 3" xfId="5707" xr:uid="{00000000-0005-0000-0000-0000DA1E0000}"/>
    <cellStyle name="Normal 9 2 2 3 4 3 2" xfId="15033" xr:uid="{84A6044F-D0B5-48A0-ACC3-76C950DB1C20}"/>
    <cellStyle name="Normal 9 2 2 3 4 3 3" xfId="23480" xr:uid="{6CE0F21C-53B1-4585-B254-21366F0C7C65}"/>
    <cellStyle name="Normal 9 2 2 3 4 4" xfId="10816" xr:uid="{1F6D0985-B926-4483-A956-C10E82E7884E}"/>
    <cellStyle name="Normal 9 2 2 3 4 5" xfId="19263" xr:uid="{ACD2AF44-ACBA-461B-BB69-97E2374E757D}"/>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5DBDC57C-F03E-4230-803D-42A21283839F}"/>
    <cellStyle name="Normal 9 2 2 3 5 2 2 3" xfId="26038" xr:uid="{67A80708-951B-4AD5-B1CF-C33D63EC555D}"/>
    <cellStyle name="Normal 9 2 2 3 5 2 3" xfId="13374" xr:uid="{BB9DDFCA-3D59-459D-8A60-55EFAC563E78}"/>
    <cellStyle name="Normal 9 2 2 3 5 2 4" xfId="21821" xr:uid="{C5B3282C-F482-4FB4-B4A1-FFC4B34F2B5F}"/>
    <cellStyle name="Normal 9 2 2 3 5 3" xfId="6120" xr:uid="{00000000-0005-0000-0000-0000DE1E0000}"/>
    <cellStyle name="Normal 9 2 2 3 5 3 2" xfId="15446" xr:uid="{6B41FDA7-983C-4EED-8F05-31409B4F192F}"/>
    <cellStyle name="Normal 9 2 2 3 5 3 3" xfId="23893" xr:uid="{A21C9282-F475-40A8-A1DA-11F531F1D4DF}"/>
    <cellStyle name="Normal 9 2 2 3 5 4" xfId="11229" xr:uid="{343BC24C-4500-4C7C-B95D-C01D8BD0F1B6}"/>
    <cellStyle name="Normal 9 2 2 3 5 5" xfId="19676" xr:uid="{BD77C6BB-EB18-49B3-8A0B-0EE4B11D1B64}"/>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DD3D8D4A-E7A7-49EC-9E19-D1FDE1CBC355}"/>
    <cellStyle name="Normal 9 2 2 3 6 2 2 3" xfId="26451" xr:uid="{FFB19AB8-8448-425C-84A6-AB08139A6DCE}"/>
    <cellStyle name="Normal 9 2 2 3 6 2 3" xfId="13787" xr:uid="{1EF28C91-63DE-4367-8B82-D013D019DA64}"/>
    <cellStyle name="Normal 9 2 2 3 6 2 4" xfId="22234" xr:uid="{593D882D-EE9A-4E7D-B441-5DB95DF22A04}"/>
    <cellStyle name="Normal 9 2 2 3 6 3" xfId="6533" xr:uid="{00000000-0005-0000-0000-0000E21E0000}"/>
    <cellStyle name="Normal 9 2 2 3 6 3 2" xfId="15859" xr:uid="{31CD8161-2EA2-4428-8AAF-EF8E37ED31E6}"/>
    <cellStyle name="Normal 9 2 2 3 6 3 3" xfId="24306" xr:uid="{2D26E8FB-1241-468A-8A47-410E4929F034}"/>
    <cellStyle name="Normal 9 2 2 3 6 4" xfId="11642" xr:uid="{CD6EAFDB-533D-49BE-8B40-3133189185D3}"/>
    <cellStyle name="Normal 9 2 2 3 6 5" xfId="20089" xr:uid="{6E0D25CF-BFD5-4357-8F4F-533F4EE858FC}"/>
    <cellStyle name="Normal 9 2 2 3 7" xfId="2663" xr:uid="{00000000-0005-0000-0000-0000E31E0000}"/>
    <cellStyle name="Normal 9 2 2 3 7 2" xfId="6946" xr:uid="{00000000-0005-0000-0000-0000E41E0000}"/>
    <cellStyle name="Normal 9 2 2 3 7 2 2" xfId="16272" xr:uid="{9B493BDF-DECE-4F19-BD3E-9DB2C55DE3EC}"/>
    <cellStyle name="Normal 9 2 2 3 7 2 3" xfId="24719" xr:uid="{9F5B48C2-FBF9-48B1-B944-C7E608BDCF2F}"/>
    <cellStyle name="Normal 9 2 2 3 7 3" xfId="12055" xr:uid="{80B64EB3-93A1-496A-A1F5-9CD9466AD8BC}"/>
    <cellStyle name="Normal 9 2 2 3 7 4" xfId="20502" xr:uid="{0D4D6657-4B14-423C-A5EA-B992AABA2B32}"/>
    <cellStyle name="Normal 9 2 2 3 8" xfId="4881" xr:uid="{00000000-0005-0000-0000-0000E51E0000}"/>
    <cellStyle name="Normal 9 2 2 3 8 2" xfId="14207" xr:uid="{B019E6A5-50CA-467C-901B-52DDC08E87BA}"/>
    <cellStyle name="Normal 9 2 2 3 8 3" xfId="22654" xr:uid="{20B7BB89-024E-47D7-8EE8-BDC64A1571DE}"/>
    <cellStyle name="Normal 9 2 2 3 9" xfId="8888" xr:uid="{47457178-62A7-4ACA-95A1-433BF4FD3D65}"/>
    <cellStyle name="Normal 9 2 2 4" xfId="519" xr:uid="{00000000-0005-0000-0000-0000E61E0000}"/>
    <cellStyle name="Normal 9 2 2 4 10" xfId="18439" xr:uid="{B900F43B-040F-4368-B2E6-1E887E88A65F}"/>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C6504A87-CB04-4A9F-B1B3-3F49A6ABF8B5}"/>
    <cellStyle name="Normal 9 2 2 4 2 2 2 3" xfId="25214" xr:uid="{9326F0F0-5B24-4F9A-845E-94C4DA48F638}"/>
    <cellStyle name="Normal 9 2 2 4 2 2 3" xfId="12550" xr:uid="{DAC95DE6-815F-42F3-B865-BDF75F2ADA59}"/>
    <cellStyle name="Normal 9 2 2 4 2 2 4" xfId="20997" xr:uid="{2E387D48-C8E7-4EAA-8264-C0ADA9198075}"/>
    <cellStyle name="Normal 9 2 2 4 2 3" xfId="5296" xr:uid="{00000000-0005-0000-0000-0000EA1E0000}"/>
    <cellStyle name="Normal 9 2 2 4 2 3 2" xfId="14622" xr:uid="{DBCF39BA-C00F-42A5-85A5-8FB5CDD8A1C8}"/>
    <cellStyle name="Normal 9 2 2 4 2 3 3" xfId="23069" xr:uid="{EA6B1160-B666-46E0-8C78-2996902E9C75}"/>
    <cellStyle name="Normal 9 2 2 4 2 4" xfId="9417" xr:uid="{FDB8A679-B5B8-4E9B-808D-E68F6CA01958}"/>
    <cellStyle name="Normal 9 2 2 4 2 5" xfId="10405" xr:uid="{ED4436CA-149D-4C0A-82A3-FDDA68336180}"/>
    <cellStyle name="Normal 9 2 2 4 2 6" xfId="18852" xr:uid="{E4FA3FF5-D37C-4139-990D-811DCE588B6F}"/>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EBE181C9-8943-44DE-95D8-A4C492E6A878}"/>
    <cellStyle name="Normal 9 2 2 4 3 2 2 3" xfId="25627" xr:uid="{7E0EDD36-2222-46F4-B4E1-AC34237C25A3}"/>
    <cellStyle name="Normal 9 2 2 4 3 2 3" xfId="12963" xr:uid="{3C4DFC34-4524-43CE-B9AB-B952B49C9B98}"/>
    <cellStyle name="Normal 9 2 2 4 3 2 4" xfId="21410" xr:uid="{A977A0BF-0C71-4912-A543-0DB8CC505FD1}"/>
    <cellStyle name="Normal 9 2 2 4 3 3" xfId="5709" xr:uid="{00000000-0005-0000-0000-0000EE1E0000}"/>
    <cellStyle name="Normal 9 2 2 4 3 3 2" xfId="15035" xr:uid="{8A583BC3-0AA8-47E6-83A8-118344E4B1AC}"/>
    <cellStyle name="Normal 9 2 2 4 3 3 3" xfId="23482" xr:uid="{BB9E8F78-8643-4517-9B0B-AAEFD6CD6BC9}"/>
    <cellStyle name="Normal 9 2 2 4 3 4" xfId="10818" xr:uid="{AEA3C12B-5AA8-4807-81E4-09DDED2BBDF5}"/>
    <cellStyle name="Normal 9 2 2 4 3 5" xfId="19265" xr:uid="{5F328735-D1E8-494B-8F67-4CAA81D99BE0}"/>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E2867BA5-ED62-4D5E-998C-2D43CABE8C1E}"/>
    <cellStyle name="Normal 9 2 2 4 4 2 2 3" xfId="26040" xr:uid="{14730268-E821-408F-B9EC-F8A0EB088520}"/>
    <cellStyle name="Normal 9 2 2 4 4 2 3" xfId="13376" xr:uid="{ED611754-C95F-49AB-9A70-1C7F56AA245A}"/>
    <cellStyle name="Normal 9 2 2 4 4 2 4" xfId="21823" xr:uid="{8B808413-6A0B-43CB-AC63-C4611F77823F}"/>
    <cellStyle name="Normal 9 2 2 4 4 3" xfId="6122" xr:uid="{00000000-0005-0000-0000-0000F21E0000}"/>
    <cellStyle name="Normal 9 2 2 4 4 3 2" xfId="15448" xr:uid="{8254F548-2EB3-4BBB-826B-DD6E0FB2E9A3}"/>
    <cellStyle name="Normal 9 2 2 4 4 3 3" xfId="23895" xr:uid="{D2CD9B68-6941-4342-9391-47F1A9205CCD}"/>
    <cellStyle name="Normal 9 2 2 4 4 4" xfId="11231" xr:uid="{CCE41393-9770-4FD3-9DAC-17FFE370DD34}"/>
    <cellStyle name="Normal 9 2 2 4 4 5" xfId="19678" xr:uid="{AFF3D194-A622-4E1E-918D-69EF87D5CDFF}"/>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E54DA845-E130-4898-9CD7-575B783644B9}"/>
    <cellStyle name="Normal 9 2 2 4 5 2 2 3" xfId="26453" xr:uid="{2E083341-6A16-437C-B6D4-070A80ABFAAE}"/>
    <cellStyle name="Normal 9 2 2 4 5 2 3" xfId="13789" xr:uid="{E6936C40-058B-4DD3-8E05-81AF5421C989}"/>
    <cellStyle name="Normal 9 2 2 4 5 2 4" xfId="22236" xr:uid="{CF005F48-3D90-401C-A44A-A5E93496DF25}"/>
    <cellStyle name="Normal 9 2 2 4 5 3" xfId="6535" xr:uid="{00000000-0005-0000-0000-0000F61E0000}"/>
    <cellStyle name="Normal 9 2 2 4 5 3 2" xfId="15861" xr:uid="{3A536157-8BEC-4B34-9022-FE3D3E54EC11}"/>
    <cellStyle name="Normal 9 2 2 4 5 3 3" xfId="24308" xr:uid="{CEB5CE6D-0A56-466F-B31F-CAD9BBC16735}"/>
    <cellStyle name="Normal 9 2 2 4 5 4" xfId="11644" xr:uid="{B8E4A706-7B35-4FFD-AFBE-77CBBF926870}"/>
    <cellStyle name="Normal 9 2 2 4 5 5" xfId="20091" xr:uid="{478F2861-A4BC-41A4-90AB-83DAA467C6B5}"/>
    <cellStyle name="Normal 9 2 2 4 6" xfId="2665" xr:uid="{00000000-0005-0000-0000-0000F71E0000}"/>
    <cellStyle name="Normal 9 2 2 4 6 2" xfId="6948" xr:uid="{00000000-0005-0000-0000-0000F81E0000}"/>
    <cellStyle name="Normal 9 2 2 4 6 2 2" xfId="16274" xr:uid="{CAA3E204-2E32-4F20-9FB8-9781990848F7}"/>
    <cellStyle name="Normal 9 2 2 4 6 2 3" xfId="24721" xr:uid="{0E6FFDC1-27B3-43B5-8B72-14F3E294E6AE}"/>
    <cellStyle name="Normal 9 2 2 4 6 3" xfId="12057" xr:uid="{A38ABB4A-2E65-485A-996E-7E2ADDDB659E}"/>
    <cellStyle name="Normal 9 2 2 4 6 4" xfId="20504" xr:uid="{AB53A893-A339-4973-958B-C29218CD49B3}"/>
    <cellStyle name="Normal 9 2 2 4 7" xfId="4883" xr:uid="{00000000-0005-0000-0000-0000F91E0000}"/>
    <cellStyle name="Normal 9 2 2 4 7 2" xfId="14209" xr:uid="{E68A8B69-1014-4749-A1EC-D1B4979ADB3D}"/>
    <cellStyle name="Normal 9 2 2 4 7 3" xfId="22656" xr:uid="{A83D661A-E3E7-4CE0-AB9F-26C5B1A2AF06}"/>
    <cellStyle name="Normal 9 2 2 4 8" xfId="8992" xr:uid="{8AFFF8AD-8552-4B33-AAFF-7DACAE25085E}"/>
    <cellStyle name="Normal 9 2 2 4 9" xfId="9992" xr:uid="{04811131-8897-4935-9C49-D34DE6C13046}"/>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85DFE443-9BD5-4B92-AD1D-D2DD92301A4D}"/>
    <cellStyle name="Normal 9 2 2 5 2 2 3" xfId="25207" xr:uid="{0A61205E-3D30-4BF7-B687-F476D4AAB2B4}"/>
    <cellStyle name="Normal 9 2 2 5 2 3" xfId="12543" xr:uid="{561A75E8-AC7A-4774-8933-63C977CB61F1}"/>
    <cellStyle name="Normal 9 2 2 5 2 4" xfId="20990" xr:uid="{16810DC6-6152-4AE1-A1E8-D823DF6D8FC0}"/>
    <cellStyle name="Normal 9 2 2 5 3" xfId="5289" xr:uid="{00000000-0005-0000-0000-0000FD1E0000}"/>
    <cellStyle name="Normal 9 2 2 5 3 2" xfId="14615" xr:uid="{C471DCF7-F28F-441E-9977-E100700A7CFA}"/>
    <cellStyle name="Normal 9 2 2 5 3 3" xfId="23062" xr:uid="{D3B387B6-88E2-405C-8AC2-AF61472494FD}"/>
    <cellStyle name="Normal 9 2 2 5 4" xfId="9209" xr:uid="{66E66B93-842C-41D8-A807-A065C03CFEBD}"/>
    <cellStyle name="Normal 9 2 2 5 5" xfId="10398" xr:uid="{28FEF6AD-5C6B-4646-A481-B48AD669F692}"/>
    <cellStyle name="Normal 9 2 2 5 6" xfId="18845" xr:uid="{0D872548-8ACE-4D85-9DED-D7EB2CF5789B}"/>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C465E657-27A6-4F9F-BA5A-C2B58C6BCA5D}"/>
    <cellStyle name="Normal 9 2 2 6 2 2 3" xfId="25620" xr:uid="{FC081FB6-BC56-4814-BAFB-D34AD864A7D4}"/>
    <cellStyle name="Normal 9 2 2 6 2 3" xfId="12956" xr:uid="{62E6CC23-DE15-4201-8F26-84B9346BEA7D}"/>
    <cellStyle name="Normal 9 2 2 6 2 4" xfId="21403" xr:uid="{BC40647A-1B4E-4116-949D-3DBE3B5F2056}"/>
    <cellStyle name="Normal 9 2 2 6 3" xfId="5702" xr:uid="{00000000-0005-0000-0000-0000011F0000}"/>
    <cellStyle name="Normal 9 2 2 6 3 2" xfId="15028" xr:uid="{5EA42156-B275-40F1-8EF2-A222E3F6D13A}"/>
    <cellStyle name="Normal 9 2 2 6 3 3" xfId="23475" xr:uid="{963448CF-99DC-4A72-9EC7-511999D3FB1F}"/>
    <cellStyle name="Normal 9 2 2 6 4" xfId="10811" xr:uid="{CE446345-1FD9-44BC-A1B8-128BA01A781B}"/>
    <cellStyle name="Normal 9 2 2 6 5" xfId="19258" xr:uid="{31FB3B59-AB15-422E-900E-EF4601BD8A8C}"/>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C8046F34-DE6C-442A-913B-AAD5125BD9C9}"/>
    <cellStyle name="Normal 9 2 2 7 2 2 3" xfId="26033" xr:uid="{F5F72E0D-1C19-4B33-9BED-E4EDA749C8A0}"/>
    <cellStyle name="Normal 9 2 2 7 2 3" xfId="13369" xr:uid="{A279FF87-3F4C-4A50-A45A-05DEBB2F00AF}"/>
    <cellStyle name="Normal 9 2 2 7 2 4" xfId="21816" xr:uid="{0DF07F02-5B01-4C18-9956-D423F0F0A60F}"/>
    <cellStyle name="Normal 9 2 2 7 3" xfId="6115" xr:uid="{00000000-0005-0000-0000-0000051F0000}"/>
    <cellStyle name="Normal 9 2 2 7 3 2" xfId="15441" xr:uid="{E1FE1384-EA42-4410-A86F-A805C3F9A7A3}"/>
    <cellStyle name="Normal 9 2 2 7 3 3" xfId="23888" xr:uid="{F1DAA3F3-507B-4F40-86AD-766F668397FD}"/>
    <cellStyle name="Normal 9 2 2 7 4" xfId="11224" xr:uid="{61CD9061-1856-4532-B488-48CDBA2946CB}"/>
    <cellStyle name="Normal 9 2 2 7 5" xfId="19671" xr:uid="{82A89D3D-F0B9-4500-BCA6-01755588F7CA}"/>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673D7AAB-E13E-4E5B-959D-1916A6E3779A}"/>
    <cellStyle name="Normal 9 2 2 8 2 2 3" xfId="26446" xr:uid="{306D542F-A56C-4A04-B356-DB644E68369D}"/>
    <cellStyle name="Normal 9 2 2 8 2 3" xfId="13782" xr:uid="{0375C221-5456-441F-A881-D11B16487FCE}"/>
    <cellStyle name="Normal 9 2 2 8 2 4" xfId="22229" xr:uid="{83FCFA6E-5C59-4A51-B6F2-F861D2C06E0F}"/>
    <cellStyle name="Normal 9 2 2 8 3" xfId="6528" xr:uid="{00000000-0005-0000-0000-0000091F0000}"/>
    <cellStyle name="Normal 9 2 2 8 3 2" xfId="15854" xr:uid="{BCD700F1-7765-4004-A1B8-EDFFC341D048}"/>
    <cellStyle name="Normal 9 2 2 8 3 3" xfId="24301" xr:uid="{20D5E3D9-2A60-4D58-A0ED-2997087BB84A}"/>
    <cellStyle name="Normal 9 2 2 8 4" xfId="11637" xr:uid="{A802F92B-1493-4173-93C7-6859D8E366C9}"/>
    <cellStyle name="Normal 9 2 2 8 5" xfId="20084" xr:uid="{289B34C0-E36B-4C33-9FD9-6556F6FE72B5}"/>
    <cellStyle name="Normal 9 2 2 9" xfId="2658" xr:uid="{00000000-0005-0000-0000-00000A1F0000}"/>
    <cellStyle name="Normal 9 2 2 9 2" xfId="6941" xr:uid="{00000000-0005-0000-0000-00000B1F0000}"/>
    <cellStyle name="Normal 9 2 2 9 2 2" xfId="16267" xr:uid="{2B285F46-D08C-454E-9E41-5A528B031C56}"/>
    <cellStyle name="Normal 9 2 2 9 2 3" xfId="24714" xr:uid="{9F2718AC-5B19-4BB5-B027-E7F3EF743CA4}"/>
    <cellStyle name="Normal 9 2 2 9 3" xfId="12050" xr:uid="{E728C02E-08B2-416D-9F9B-F4F653275D9F}"/>
    <cellStyle name="Normal 9 2 2 9 4" xfId="20497" xr:uid="{883FF3A2-AE4B-43E9-AC0F-92EE518B0CB7}"/>
    <cellStyle name="Normal 9 2 3" xfId="520" xr:uid="{00000000-0005-0000-0000-00000C1F0000}"/>
    <cellStyle name="Normal 9 2 3 10" xfId="8838" xr:uid="{3F59BADF-95CF-4831-9CE1-8ACBDD585DF1}"/>
    <cellStyle name="Normal 9 2 3 11" xfId="9993" xr:uid="{CC2F3646-9AFA-468A-806B-46EA65E3758A}"/>
    <cellStyle name="Normal 9 2 3 12" xfId="18440" xr:uid="{6C2C9880-8DB2-422F-8040-15AA631D9CC2}"/>
    <cellStyle name="Normal 9 2 3 2" xfId="521" xr:uid="{00000000-0005-0000-0000-00000D1F0000}"/>
    <cellStyle name="Normal 9 2 3 2 10" xfId="9994" xr:uid="{0312742D-1E03-449F-982B-5D30E029E0BE}"/>
    <cellStyle name="Normal 9 2 3 2 11" xfId="18441" xr:uid="{9AE42E23-D22F-48DD-BC5B-30C71B7C1415}"/>
    <cellStyle name="Normal 9 2 3 2 2" xfId="522" xr:uid="{00000000-0005-0000-0000-00000E1F0000}"/>
    <cellStyle name="Normal 9 2 3 2 2 10" xfId="18442" xr:uid="{2009D26A-885F-4116-A38F-AAF67277EAFB}"/>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68FDD36B-45E7-4DCA-AE70-DBDFC89553CB}"/>
    <cellStyle name="Normal 9 2 3 2 2 2 2 2 3" xfId="25217" xr:uid="{CBEDEF42-DCD7-4461-80EF-0CCB28DCF5CF}"/>
    <cellStyle name="Normal 9 2 3 2 2 2 2 3" xfId="12553" xr:uid="{A94F61A3-C248-459F-B07F-3BC6EE36CD7D}"/>
    <cellStyle name="Normal 9 2 3 2 2 2 2 4" xfId="21000" xr:uid="{A0368542-0F89-4ECA-B201-9022852DF801}"/>
    <cellStyle name="Normal 9 2 3 2 2 2 3" xfId="5299" xr:uid="{00000000-0005-0000-0000-0000121F0000}"/>
    <cellStyle name="Normal 9 2 3 2 2 2 3 2" xfId="14625" xr:uid="{55212CAD-7AED-4179-B17D-B2A00503F33C}"/>
    <cellStyle name="Normal 9 2 3 2 2 2 3 3" xfId="23072" xr:uid="{A5B42929-D522-4B78-BC45-4A4BA4D29447}"/>
    <cellStyle name="Normal 9 2 3 2 2 2 4" xfId="9573" xr:uid="{376F8566-2407-40B8-9531-D3E757BE7A23}"/>
    <cellStyle name="Normal 9 2 3 2 2 2 5" xfId="10408" xr:uid="{E60D8349-E52B-4274-BF95-95A5DE6547DE}"/>
    <cellStyle name="Normal 9 2 3 2 2 2 6" xfId="18855" xr:uid="{CA2EDEB5-1585-4B2C-AE90-4069FFB5F4AA}"/>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A3A0ED9A-3484-410E-AE72-4FF808590FA7}"/>
    <cellStyle name="Normal 9 2 3 2 2 3 2 2 3" xfId="25630" xr:uid="{EB98A43A-CD45-4F42-80DC-45719571DFB7}"/>
    <cellStyle name="Normal 9 2 3 2 2 3 2 3" xfId="12966" xr:uid="{32F70D38-00F3-410A-B9ED-AE72181E9467}"/>
    <cellStyle name="Normal 9 2 3 2 2 3 2 4" xfId="21413" xr:uid="{E0A45EE4-81D8-462C-B4CD-DEEA357CADBD}"/>
    <cellStyle name="Normal 9 2 3 2 2 3 3" xfId="5712" xr:uid="{00000000-0005-0000-0000-0000161F0000}"/>
    <cellStyle name="Normal 9 2 3 2 2 3 3 2" xfId="15038" xr:uid="{8B1382B3-A9B9-4B46-A581-88E8AB7F22AD}"/>
    <cellStyle name="Normal 9 2 3 2 2 3 3 3" xfId="23485" xr:uid="{A603FF4F-3166-47F4-AA6A-D29FBEB4F077}"/>
    <cellStyle name="Normal 9 2 3 2 2 3 4" xfId="10821" xr:uid="{13866403-4C9E-46EA-8F2A-6E051F85DF25}"/>
    <cellStyle name="Normal 9 2 3 2 2 3 5" xfId="19268" xr:uid="{0DCB8B9D-3DA0-4CDB-AE3F-D6AE65882DBB}"/>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2379CFD2-E91A-4F34-859B-983639416A08}"/>
    <cellStyle name="Normal 9 2 3 2 2 4 2 2 3" xfId="26043" xr:uid="{383EF2E3-1A6F-4A1B-BC33-6D9709E1B4CF}"/>
    <cellStyle name="Normal 9 2 3 2 2 4 2 3" xfId="13379" xr:uid="{CE62639E-6DCB-442A-ABD6-B99BAA11E46A}"/>
    <cellStyle name="Normal 9 2 3 2 2 4 2 4" xfId="21826" xr:uid="{26442517-3B7E-411D-A3C5-5C2983892F4C}"/>
    <cellStyle name="Normal 9 2 3 2 2 4 3" xfId="6125" xr:uid="{00000000-0005-0000-0000-00001A1F0000}"/>
    <cellStyle name="Normal 9 2 3 2 2 4 3 2" xfId="15451" xr:uid="{64C9EF19-C323-4C53-A17C-5D6CC15C3B01}"/>
    <cellStyle name="Normal 9 2 3 2 2 4 3 3" xfId="23898" xr:uid="{26B1FC5B-57C5-4B20-8C56-1B1C150BAFEA}"/>
    <cellStyle name="Normal 9 2 3 2 2 4 4" xfId="11234" xr:uid="{E10207FE-C297-46A8-85E1-695F4FA635F6}"/>
    <cellStyle name="Normal 9 2 3 2 2 4 5" xfId="19681" xr:uid="{2F5B3946-4C9C-4060-BF99-A2979C1644C8}"/>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0B1D7BA5-AE93-4693-9413-D6349981B640}"/>
    <cellStyle name="Normal 9 2 3 2 2 5 2 2 3" xfId="26456" xr:uid="{45A419EE-33ED-49A4-AE0C-290DC96AC44B}"/>
    <cellStyle name="Normal 9 2 3 2 2 5 2 3" xfId="13792" xr:uid="{098AFB33-8536-4B75-8525-4B7D8D930772}"/>
    <cellStyle name="Normal 9 2 3 2 2 5 2 4" xfId="22239" xr:uid="{AC2603A5-39B6-4E26-8739-81351AB1374D}"/>
    <cellStyle name="Normal 9 2 3 2 2 5 3" xfId="6538" xr:uid="{00000000-0005-0000-0000-00001E1F0000}"/>
    <cellStyle name="Normal 9 2 3 2 2 5 3 2" xfId="15864" xr:uid="{007C59FB-4705-47E6-BCCC-1B7C029C8B01}"/>
    <cellStyle name="Normal 9 2 3 2 2 5 3 3" xfId="24311" xr:uid="{E3653BE6-3036-4BA7-9BB0-4617E0A0CD6D}"/>
    <cellStyle name="Normal 9 2 3 2 2 5 4" xfId="11647" xr:uid="{106BE3DF-337E-4873-A5B1-FEE8D8BC6D88}"/>
    <cellStyle name="Normal 9 2 3 2 2 5 5" xfId="20094" xr:uid="{6B6C7CB6-2237-477A-B20B-552E7F440890}"/>
    <cellStyle name="Normal 9 2 3 2 2 6" xfId="2668" xr:uid="{00000000-0005-0000-0000-00001F1F0000}"/>
    <cellStyle name="Normal 9 2 3 2 2 6 2" xfId="6951" xr:uid="{00000000-0005-0000-0000-0000201F0000}"/>
    <cellStyle name="Normal 9 2 3 2 2 6 2 2" xfId="16277" xr:uid="{3285050B-10E5-4B67-98D3-CA05FA7892DA}"/>
    <cellStyle name="Normal 9 2 3 2 2 6 2 3" xfId="24724" xr:uid="{3EE2D395-0628-49CF-8C63-87C2AD103A32}"/>
    <cellStyle name="Normal 9 2 3 2 2 6 3" xfId="12060" xr:uid="{6A3E146E-765C-439D-9D94-818261F821C7}"/>
    <cellStyle name="Normal 9 2 3 2 2 6 4" xfId="20507" xr:uid="{79260E2D-7796-4868-B423-19EE4947587B}"/>
    <cellStyle name="Normal 9 2 3 2 2 7" xfId="4886" xr:uid="{00000000-0005-0000-0000-0000211F0000}"/>
    <cellStyle name="Normal 9 2 3 2 2 7 2" xfId="14212" xr:uid="{F6BA8300-1915-4784-89A4-D845EBA4CFE3}"/>
    <cellStyle name="Normal 9 2 3 2 2 7 3" xfId="22659" xr:uid="{302E162E-8356-468E-A1E5-16FAC8D172A1}"/>
    <cellStyle name="Normal 9 2 3 2 2 8" xfId="9148" xr:uid="{E1A2F3F0-C8EA-47FA-BB37-18F117041A87}"/>
    <cellStyle name="Normal 9 2 3 2 2 9" xfId="9995" xr:uid="{9BC4A6A0-345A-4D6A-A518-154258B0D402}"/>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F0CB3BEE-D987-4A05-98E8-C4BDEE470D56}"/>
    <cellStyle name="Normal 9 2 3 2 3 2 2 3" xfId="25216" xr:uid="{C02160F2-A09C-466D-92CF-54F32B61610A}"/>
    <cellStyle name="Normal 9 2 3 2 3 2 3" xfId="12552" xr:uid="{8C7AA605-2544-4181-B01E-FE592F42556F}"/>
    <cellStyle name="Normal 9 2 3 2 3 2 4" xfId="20999" xr:uid="{F50B4E1D-A858-45B9-91D4-1A0CDCB5D9E0}"/>
    <cellStyle name="Normal 9 2 3 2 3 3" xfId="5298" xr:uid="{00000000-0005-0000-0000-0000251F0000}"/>
    <cellStyle name="Normal 9 2 3 2 3 3 2" xfId="14624" xr:uid="{C5F8DC7C-FC5B-41EB-95AD-EDC2B5CC448A}"/>
    <cellStyle name="Normal 9 2 3 2 3 3 3" xfId="23071" xr:uid="{91764128-0107-4FEF-921D-24DA3A54F819}"/>
    <cellStyle name="Normal 9 2 3 2 3 4" xfId="9366" xr:uid="{136A6B94-9CAA-4F6C-B09D-7385900FCA38}"/>
    <cellStyle name="Normal 9 2 3 2 3 5" xfId="10407" xr:uid="{3F033CE5-D7DF-4288-A4B0-D80BAF5EB6C3}"/>
    <cellStyle name="Normal 9 2 3 2 3 6" xfId="18854" xr:uid="{F281EC7D-7D1A-41B5-8BA6-554890891B0F}"/>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9275D938-02D7-427E-B583-CEDB8A05BB3B}"/>
    <cellStyle name="Normal 9 2 3 2 4 2 2 3" xfId="25629" xr:uid="{395BBC37-3806-4DBF-9E15-F825A07E2F94}"/>
    <cellStyle name="Normal 9 2 3 2 4 2 3" xfId="12965" xr:uid="{AF2493E4-7302-4DB5-AE15-BD8878EF536C}"/>
    <cellStyle name="Normal 9 2 3 2 4 2 4" xfId="21412" xr:uid="{CFE83D0A-9D4E-411E-95C9-BD17D1EF5E7B}"/>
    <cellStyle name="Normal 9 2 3 2 4 3" xfId="5711" xr:uid="{00000000-0005-0000-0000-0000291F0000}"/>
    <cellStyle name="Normal 9 2 3 2 4 3 2" xfId="15037" xr:uid="{4C484FD5-FA69-445C-9A3A-B3AEBAE3416D}"/>
    <cellStyle name="Normal 9 2 3 2 4 3 3" xfId="23484" xr:uid="{9B82CC80-0333-403D-B0DE-30C9A703E96E}"/>
    <cellStyle name="Normal 9 2 3 2 4 4" xfId="10820" xr:uid="{EFE06779-342F-44D1-B126-0EFB7EE0DF70}"/>
    <cellStyle name="Normal 9 2 3 2 4 5" xfId="19267" xr:uid="{1BF6F81F-F713-4795-BCB4-AAE44506724D}"/>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F38ED385-C4DD-4DDF-AEE6-216A01C19D31}"/>
    <cellStyle name="Normal 9 2 3 2 5 2 2 3" xfId="26042" xr:uid="{D8CC1DD3-2858-408A-ACBE-110E108A0574}"/>
    <cellStyle name="Normal 9 2 3 2 5 2 3" xfId="13378" xr:uid="{550A7F4A-6F96-4CC2-B23E-9C8FFDADA8BA}"/>
    <cellStyle name="Normal 9 2 3 2 5 2 4" xfId="21825" xr:uid="{C95DDB68-805C-42D9-974E-3820FC36155E}"/>
    <cellStyle name="Normal 9 2 3 2 5 3" xfId="6124" xr:uid="{00000000-0005-0000-0000-00002D1F0000}"/>
    <cellStyle name="Normal 9 2 3 2 5 3 2" xfId="15450" xr:uid="{8CC8FD9D-D50E-4FDC-9299-995CDD2FC221}"/>
    <cellStyle name="Normal 9 2 3 2 5 3 3" xfId="23897" xr:uid="{4B5C6FDD-120D-43AD-BE48-464851DAFA1D}"/>
    <cellStyle name="Normal 9 2 3 2 5 4" xfId="11233" xr:uid="{FC03CCCC-3F7D-4CA0-AF37-8E0FD693027D}"/>
    <cellStyle name="Normal 9 2 3 2 5 5" xfId="19680" xr:uid="{9326A8BE-39F7-438E-A9E8-15A30E0E7462}"/>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82BC6FD6-8F10-48B9-B682-574E00C5129A}"/>
    <cellStyle name="Normal 9 2 3 2 6 2 2 3" xfId="26455" xr:uid="{EC3E0EDD-C226-4E2B-A3E2-38E92FA80F81}"/>
    <cellStyle name="Normal 9 2 3 2 6 2 3" xfId="13791" xr:uid="{2B84C6F2-96E2-4D92-9CC9-EDD05AC99FEF}"/>
    <cellStyle name="Normal 9 2 3 2 6 2 4" xfId="22238" xr:uid="{8FEE4553-CA1B-4B86-AAD5-B658A9822E23}"/>
    <cellStyle name="Normal 9 2 3 2 6 3" xfId="6537" xr:uid="{00000000-0005-0000-0000-0000311F0000}"/>
    <cellStyle name="Normal 9 2 3 2 6 3 2" xfId="15863" xr:uid="{18FE5914-1C0E-41CF-ACB0-F37D43932BDB}"/>
    <cellStyle name="Normal 9 2 3 2 6 3 3" xfId="24310" xr:uid="{BC03C370-FEDC-4E43-AC0D-2A5E51903E62}"/>
    <cellStyle name="Normal 9 2 3 2 6 4" xfId="11646" xr:uid="{2E4825D2-2B0B-417B-909C-5F84691D61C7}"/>
    <cellStyle name="Normal 9 2 3 2 6 5" xfId="20093" xr:uid="{EC438EAA-911A-43A7-A377-0F2829872D30}"/>
    <cellStyle name="Normal 9 2 3 2 7" xfId="2667" xr:uid="{00000000-0005-0000-0000-0000321F0000}"/>
    <cellStyle name="Normal 9 2 3 2 7 2" xfId="6950" xr:uid="{00000000-0005-0000-0000-0000331F0000}"/>
    <cellStyle name="Normal 9 2 3 2 7 2 2" xfId="16276" xr:uid="{E278D3B8-26B0-4BE4-BC8B-1EF6A359C630}"/>
    <cellStyle name="Normal 9 2 3 2 7 2 3" xfId="24723" xr:uid="{4C8F8580-55DD-4727-8026-B1F6A89FC6B8}"/>
    <cellStyle name="Normal 9 2 3 2 7 3" xfId="12059" xr:uid="{03B85FBA-E859-4579-9EEF-7A8490A75455}"/>
    <cellStyle name="Normal 9 2 3 2 7 4" xfId="20506" xr:uid="{98768569-A0EA-4A20-99F6-4F54DF79635F}"/>
    <cellStyle name="Normal 9 2 3 2 8" xfId="4885" xr:uid="{00000000-0005-0000-0000-0000341F0000}"/>
    <cellStyle name="Normal 9 2 3 2 8 2" xfId="14211" xr:uid="{B25B7688-72C3-4303-BC12-B4D297109BE0}"/>
    <cellStyle name="Normal 9 2 3 2 8 3" xfId="22658" xr:uid="{FCC7EEE2-C1F7-4C8A-821D-B4A6F5932F09}"/>
    <cellStyle name="Normal 9 2 3 2 9" xfId="8941" xr:uid="{DDA1E375-E708-45D0-9119-207D493A75BA}"/>
    <cellStyle name="Normal 9 2 3 3" xfId="523" xr:uid="{00000000-0005-0000-0000-0000351F0000}"/>
    <cellStyle name="Normal 9 2 3 3 10" xfId="18443" xr:uid="{3C06442D-F77F-4C06-9EA1-75A791DFEB8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22BC02D0-BDC0-42DE-B19C-9A04AEAB5489}"/>
    <cellStyle name="Normal 9 2 3 3 2 2 2 3" xfId="25218" xr:uid="{6480C4C3-4BC3-496C-B581-897A52934C28}"/>
    <cellStyle name="Normal 9 2 3 3 2 2 3" xfId="12554" xr:uid="{BCBEBF27-E8EF-4D46-95BE-3B5B2CB796DA}"/>
    <cellStyle name="Normal 9 2 3 3 2 2 4" xfId="21001" xr:uid="{68109EAC-F801-471F-BCE2-508E81E00C17}"/>
    <cellStyle name="Normal 9 2 3 3 2 3" xfId="5300" xr:uid="{00000000-0005-0000-0000-0000391F0000}"/>
    <cellStyle name="Normal 9 2 3 3 2 3 2" xfId="14626" xr:uid="{2B0876B1-CB35-4CD9-A74F-517D4D0B38FC}"/>
    <cellStyle name="Normal 9 2 3 3 2 3 3" xfId="23073" xr:uid="{808E20E5-5865-4132-96D8-3A53AE8608BF}"/>
    <cellStyle name="Normal 9 2 3 3 2 4" xfId="9470" xr:uid="{B46EA5E7-4A9D-405A-94B0-2C155F0DE1F1}"/>
    <cellStyle name="Normal 9 2 3 3 2 5" xfId="10409" xr:uid="{48C6F534-7401-4DE6-BA73-367959E7D8E9}"/>
    <cellStyle name="Normal 9 2 3 3 2 6" xfId="18856" xr:uid="{59A3A38A-CBAD-4089-9E6F-F84DBC236E8B}"/>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3E484023-926E-4E62-876E-D3F1CBFA7BF1}"/>
    <cellStyle name="Normal 9 2 3 3 3 2 2 3" xfId="25631" xr:uid="{0B8922B7-126A-4FA3-B3A5-0B5899E458CB}"/>
    <cellStyle name="Normal 9 2 3 3 3 2 3" xfId="12967" xr:uid="{9C6F85A9-AAD7-4213-B3C4-D45D15A9488D}"/>
    <cellStyle name="Normal 9 2 3 3 3 2 4" xfId="21414" xr:uid="{E27B6701-D399-47D6-B899-BCA72F0C7AA2}"/>
    <cellStyle name="Normal 9 2 3 3 3 3" xfId="5713" xr:uid="{00000000-0005-0000-0000-00003D1F0000}"/>
    <cellStyle name="Normal 9 2 3 3 3 3 2" xfId="15039" xr:uid="{F9261199-1F71-41DD-BDDE-8C62B2DEAD87}"/>
    <cellStyle name="Normal 9 2 3 3 3 3 3" xfId="23486" xr:uid="{69BF8DB0-5B1E-4367-8F2C-4926BF995056}"/>
    <cellStyle name="Normal 9 2 3 3 3 4" xfId="10822" xr:uid="{F79FD87B-7CFB-4BCE-8A79-693A51CE5E65}"/>
    <cellStyle name="Normal 9 2 3 3 3 5" xfId="19269" xr:uid="{AEF3ECE3-5CEE-489B-AAAA-1ADC0C2B1E7F}"/>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ADB1E90F-EFB6-4A6A-B77E-E7CC9469B830}"/>
    <cellStyle name="Normal 9 2 3 3 4 2 2 3" xfId="26044" xr:uid="{795FBB1A-B914-4056-B862-F7B769C8F05F}"/>
    <cellStyle name="Normal 9 2 3 3 4 2 3" xfId="13380" xr:uid="{EB79B8D3-B142-4679-8DFD-FE50376D1B4D}"/>
    <cellStyle name="Normal 9 2 3 3 4 2 4" xfId="21827" xr:uid="{46A6B450-231E-43FC-BBD4-8B7298769EA4}"/>
    <cellStyle name="Normal 9 2 3 3 4 3" xfId="6126" xr:uid="{00000000-0005-0000-0000-0000411F0000}"/>
    <cellStyle name="Normal 9 2 3 3 4 3 2" xfId="15452" xr:uid="{73714837-8B25-4278-9AB0-92BF80D462B9}"/>
    <cellStyle name="Normal 9 2 3 3 4 3 3" xfId="23899" xr:uid="{5DBEAED0-01C8-4F45-B181-9E94ED284209}"/>
    <cellStyle name="Normal 9 2 3 3 4 4" xfId="11235" xr:uid="{97E5AA5F-789F-4275-827E-50596789FC85}"/>
    <cellStyle name="Normal 9 2 3 3 4 5" xfId="19682" xr:uid="{B0EAA765-BED4-4660-B4EB-78DE837C35FA}"/>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4DDB5C67-F34E-4734-9E98-5AD06A55BEB1}"/>
    <cellStyle name="Normal 9 2 3 3 5 2 2 3" xfId="26457" xr:uid="{724D9DDE-6776-4C73-BA0B-3A708B1E92AD}"/>
    <cellStyle name="Normal 9 2 3 3 5 2 3" xfId="13793" xr:uid="{809A4AE8-3290-41DF-9C8B-E041E951B222}"/>
    <cellStyle name="Normal 9 2 3 3 5 2 4" xfId="22240" xr:uid="{550FA980-EEA2-4816-A05D-65F107EA9C8B}"/>
    <cellStyle name="Normal 9 2 3 3 5 3" xfId="6539" xr:uid="{00000000-0005-0000-0000-0000451F0000}"/>
    <cellStyle name="Normal 9 2 3 3 5 3 2" xfId="15865" xr:uid="{20B515C3-9395-4B02-82FB-89D94A660314}"/>
    <cellStyle name="Normal 9 2 3 3 5 3 3" xfId="24312" xr:uid="{7AA53A3B-A9AB-4C88-A33C-6C19E23C01D9}"/>
    <cellStyle name="Normal 9 2 3 3 5 4" xfId="11648" xr:uid="{6908003A-6A3E-44D3-895B-04C25E522AC1}"/>
    <cellStyle name="Normal 9 2 3 3 5 5" xfId="20095" xr:uid="{8A4C7AA8-BC7F-4ED9-893A-98E4B8095014}"/>
    <cellStyle name="Normal 9 2 3 3 6" xfId="2669" xr:uid="{00000000-0005-0000-0000-0000461F0000}"/>
    <cellStyle name="Normal 9 2 3 3 6 2" xfId="6952" xr:uid="{00000000-0005-0000-0000-0000471F0000}"/>
    <cellStyle name="Normal 9 2 3 3 6 2 2" xfId="16278" xr:uid="{179B9AD5-FF15-4F25-9F15-D83C4402D868}"/>
    <cellStyle name="Normal 9 2 3 3 6 2 3" xfId="24725" xr:uid="{C16786D6-4F1D-479E-89F3-374443507F78}"/>
    <cellStyle name="Normal 9 2 3 3 6 3" xfId="12061" xr:uid="{54199CFB-93AB-4E4A-B0F2-9C58468CD781}"/>
    <cellStyle name="Normal 9 2 3 3 6 4" xfId="20508" xr:uid="{3D39661F-36B7-4107-A6C2-9CF13C9FEE3A}"/>
    <cellStyle name="Normal 9 2 3 3 7" xfId="4887" xr:uid="{00000000-0005-0000-0000-0000481F0000}"/>
    <cellStyle name="Normal 9 2 3 3 7 2" xfId="14213" xr:uid="{CE4FED59-23C8-47B3-A0E5-D1C9A12EBF91}"/>
    <cellStyle name="Normal 9 2 3 3 7 3" xfId="22660" xr:uid="{27232BA3-3273-4D02-9AFD-457E61FC2D5D}"/>
    <cellStyle name="Normal 9 2 3 3 8" xfId="9045" xr:uid="{CD23D75F-FCE1-471A-A55A-DAC6FB15D069}"/>
    <cellStyle name="Normal 9 2 3 3 9" xfId="9996" xr:uid="{2B1AB307-5285-4FCA-A7BB-4A47D2864F31}"/>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9BD46F58-71E1-4DC2-B7E2-19DADBBC89DE}"/>
    <cellStyle name="Normal 9 2 3 4 2 2 3" xfId="25215" xr:uid="{CD5F90CD-9C24-405B-B98C-DF706B4884BB}"/>
    <cellStyle name="Normal 9 2 3 4 2 3" xfId="12551" xr:uid="{59483BEA-13C4-401F-AF04-D1C9E76A435C}"/>
    <cellStyle name="Normal 9 2 3 4 2 4" xfId="20998" xr:uid="{9C6C4DA6-8E1E-4DF4-8FBA-9C7F3696A417}"/>
    <cellStyle name="Normal 9 2 3 4 3" xfId="5297" xr:uid="{00000000-0005-0000-0000-00004C1F0000}"/>
    <cellStyle name="Normal 9 2 3 4 3 2" xfId="14623" xr:uid="{472109D7-4B23-4BE8-B097-F29F65AFB67B}"/>
    <cellStyle name="Normal 9 2 3 4 3 3" xfId="23070" xr:uid="{F1620733-1555-4A4D-92C0-C5E8BF8092F8}"/>
    <cellStyle name="Normal 9 2 3 4 4" xfId="9263" xr:uid="{8E7B719A-F76B-4A2B-A5A7-1A883FD6976F}"/>
    <cellStyle name="Normal 9 2 3 4 5" xfId="10406" xr:uid="{9B83FEAC-E589-40CB-AC77-4B9581FF074D}"/>
    <cellStyle name="Normal 9 2 3 4 6" xfId="18853" xr:uid="{5394BE91-2C52-4F3E-A69B-47372E72B79A}"/>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4F6ED197-AD83-4182-A16A-A502EBF340E0}"/>
    <cellStyle name="Normal 9 2 3 5 2 2 3" xfId="25628" xr:uid="{09CABD3F-5237-425C-B517-CAB9CC7BCC5A}"/>
    <cellStyle name="Normal 9 2 3 5 2 3" xfId="12964" xr:uid="{DD67A345-B8F0-4D6E-B725-4B446C599424}"/>
    <cellStyle name="Normal 9 2 3 5 2 4" xfId="21411" xr:uid="{D3B5780D-34E3-4FD3-93B8-C106EA055612}"/>
    <cellStyle name="Normal 9 2 3 5 3" xfId="5710" xr:uid="{00000000-0005-0000-0000-0000501F0000}"/>
    <cellStyle name="Normal 9 2 3 5 3 2" xfId="15036" xr:uid="{59D8E089-C17A-4395-9783-EB849F979EB8}"/>
    <cellStyle name="Normal 9 2 3 5 3 3" xfId="23483" xr:uid="{8336CA82-6B64-4A05-978F-3A1DF72412B0}"/>
    <cellStyle name="Normal 9 2 3 5 4" xfId="10819" xr:uid="{6C1E69F9-DB5D-43D0-953B-A5880814FD2C}"/>
    <cellStyle name="Normal 9 2 3 5 5" xfId="19266" xr:uid="{E1BDC090-4EE4-4997-AD08-FF581643435F}"/>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0B36F713-C841-49DD-B153-EC12E2B6C105}"/>
    <cellStyle name="Normal 9 2 3 6 2 2 3" xfId="26041" xr:uid="{35129824-F9CE-4959-90F9-317A3B5C05DA}"/>
    <cellStyle name="Normal 9 2 3 6 2 3" xfId="13377" xr:uid="{582BCFD1-099E-48B8-B2C8-C217D75F572E}"/>
    <cellStyle name="Normal 9 2 3 6 2 4" xfId="21824" xr:uid="{9FAD40E0-ACC3-4EAD-B192-92ADB3989FBF}"/>
    <cellStyle name="Normal 9 2 3 6 3" xfId="6123" xr:uid="{00000000-0005-0000-0000-0000541F0000}"/>
    <cellStyle name="Normal 9 2 3 6 3 2" xfId="15449" xr:uid="{956C4178-2F34-4682-9263-F7F91D44C1BB}"/>
    <cellStyle name="Normal 9 2 3 6 3 3" xfId="23896" xr:uid="{55862ED0-AADE-48DF-B87A-3C5045CA3A37}"/>
    <cellStyle name="Normal 9 2 3 6 4" xfId="11232" xr:uid="{3CA72EC8-9FFD-4472-A90A-A542FC2A6525}"/>
    <cellStyle name="Normal 9 2 3 6 5" xfId="19679" xr:uid="{17CC4499-43A0-41AE-A7BB-844661366806}"/>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F8D7D993-2C03-4E6F-90E0-0968C34D72C0}"/>
    <cellStyle name="Normal 9 2 3 7 2 2 3" xfId="26454" xr:uid="{4DA0E5D1-129E-4812-87DF-FBDC586428F3}"/>
    <cellStyle name="Normal 9 2 3 7 2 3" xfId="13790" xr:uid="{4E6083CB-BCCB-432B-B149-068709A4EEEC}"/>
    <cellStyle name="Normal 9 2 3 7 2 4" xfId="22237" xr:uid="{0F03AC16-C12E-44AB-99FC-28CB40048437}"/>
    <cellStyle name="Normal 9 2 3 7 3" xfId="6536" xr:uid="{00000000-0005-0000-0000-0000581F0000}"/>
    <cellStyle name="Normal 9 2 3 7 3 2" xfId="15862" xr:uid="{57663CC1-9646-427A-A6A8-7F504C62CAF5}"/>
    <cellStyle name="Normal 9 2 3 7 3 3" xfId="24309" xr:uid="{32419FB6-4A4F-496B-BD8C-BAAAE827DA17}"/>
    <cellStyle name="Normal 9 2 3 7 4" xfId="11645" xr:uid="{0139BBB2-1BB5-4C0B-BD74-3926E1385877}"/>
    <cellStyle name="Normal 9 2 3 7 5" xfId="20092" xr:uid="{F1C22026-C9E8-4087-A25E-72C54E14EE5C}"/>
    <cellStyle name="Normal 9 2 3 8" xfId="2666" xr:uid="{00000000-0005-0000-0000-0000591F0000}"/>
    <cellStyle name="Normal 9 2 3 8 2" xfId="6949" xr:uid="{00000000-0005-0000-0000-00005A1F0000}"/>
    <cellStyle name="Normal 9 2 3 8 2 2" xfId="16275" xr:uid="{EFEC1FCD-EB80-41A3-9AD8-117B459C465F}"/>
    <cellStyle name="Normal 9 2 3 8 2 3" xfId="24722" xr:uid="{AA300B1E-9E16-4213-A56A-FED38429991F}"/>
    <cellStyle name="Normal 9 2 3 8 3" xfId="12058" xr:uid="{64706E9F-464A-4C11-8165-06D39CDAEAF9}"/>
    <cellStyle name="Normal 9 2 3 8 4" xfId="20505" xr:uid="{A4FC79C5-91D9-432C-A607-C98526446116}"/>
    <cellStyle name="Normal 9 2 3 9" xfId="4884" xr:uid="{00000000-0005-0000-0000-00005B1F0000}"/>
    <cellStyle name="Normal 9 2 3 9 2" xfId="14210" xr:uid="{B8C3CA20-42B9-4E1D-A0EC-0AA44F1D9485}"/>
    <cellStyle name="Normal 9 2 3 9 3" xfId="22657" xr:uid="{437721D3-4077-490F-9D82-07D7422C7C3F}"/>
    <cellStyle name="Normal 9 2 4" xfId="524" xr:uid="{00000000-0005-0000-0000-00005C1F0000}"/>
    <cellStyle name="Normal 9 2 4 10" xfId="9997" xr:uid="{5FDEDE23-C28F-4374-9BCC-676DCCB06C8A}"/>
    <cellStyle name="Normal 9 2 4 11" xfId="18444" xr:uid="{5F8C2705-C1A0-4F74-8F4B-2F440D1AC93B}"/>
    <cellStyle name="Normal 9 2 4 2" xfId="525" xr:uid="{00000000-0005-0000-0000-00005D1F0000}"/>
    <cellStyle name="Normal 9 2 4 2 10" xfId="18445" xr:uid="{C78A64CE-F6E4-4D04-A436-836D6F09FBD4}"/>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98CF972C-788F-4391-87EE-4BFD40EA26F7}"/>
    <cellStyle name="Normal 9 2 4 2 2 2 2 3" xfId="25220" xr:uid="{95B49992-921C-4A28-A31D-1DBFA7EC56C5}"/>
    <cellStyle name="Normal 9 2 4 2 2 2 3" xfId="12556" xr:uid="{86164C0B-506A-40C0-AE4A-A56005498C3E}"/>
    <cellStyle name="Normal 9 2 4 2 2 2 4" xfId="21003" xr:uid="{2EC201BB-7902-46EB-9A25-3CEE84E6861D}"/>
    <cellStyle name="Normal 9 2 4 2 2 3" xfId="5302" xr:uid="{00000000-0005-0000-0000-0000611F0000}"/>
    <cellStyle name="Normal 9 2 4 2 2 3 2" xfId="14628" xr:uid="{D555B039-1B7B-426D-B1EE-AB24DEF093A1}"/>
    <cellStyle name="Normal 9 2 4 2 2 3 3" xfId="23075" xr:uid="{76EFFF61-51B3-439A-B9DC-FAEF98C37374}"/>
    <cellStyle name="Normal 9 2 4 2 2 4" xfId="9489" xr:uid="{4BA9DC16-58A7-4D6B-90A6-6BB0C51A0279}"/>
    <cellStyle name="Normal 9 2 4 2 2 5" xfId="10411" xr:uid="{22982B23-8A0F-47A0-8255-F6F76C9A570A}"/>
    <cellStyle name="Normal 9 2 4 2 2 6" xfId="18858" xr:uid="{C1221FAE-8204-458F-B43B-D1E968D0F93E}"/>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BF666859-CFF2-4B9D-8CDD-E5D37A2A1D18}"/>
    <cellStyle name="Normal 9 2 4 2 3 2 2 3" xfId="25633" xr:uid="{1E5A8AC7-B411-4F00-9BF6-9AB729DE376C}"/>
    <cellStyle name="Normal 9 2 4 2 3 2 3" xfId="12969" xr:uid="{F9D2FC35-F75F-4878-83A7-E32617BD37BB}"/>
    <cellStyle name="Normal 9 2 4 2 3 2 4" xfId="21416" xr:uid="{9043368F-84F7-4992-8323-BA1D2AF13D95}"/>
    <cellStyle name="Normal 9 2 4 2 3 3" xfId="5715" xr:uid="{00000000-0005-0000-0000-0000651F0000}"/>
    <cellStyle name="Normal 9 2 4 2 3 3 2" xfId="15041" xr:uid="{9E4D1883-2372-4BF4-9827-4FA24E6FE51F}"/>
    <cellStyle name="Normal 9 2 4 2 3 3 3" xfId="23488" xr:uid="{07E5DC31-1B52-45E7-80B7-6672CDB23278}"/>
    <cellStyle name="Normal 9 2 4 2 3 4" xfId="10824" xr:uid="{44C3455D-C932-4CAC-8803-61A432980492}"/>
    <cellStyle name="Normal 9 2 4 2 3 5" xfId="19271" xr:uid="{8979954D-8205-4C98-A556-A7894B88676A}"/>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64ED246A-E4CA-413C-AC0A-8FC591FD906B}"/>
    <cellStyle name="Normal 9 2 4 2 4 2 2 3" xfId="26046" xr:uid="{0C0936EC-4EFF-4A9D-BE10-49C35E549FBB}"/>
    <cellStyle name="Normal 9 2 4 2 4 2 3" xfId="13382" xr:uid="{B511BC3A-FCBB-40F7-B344-89F96F255BB1}"/>
    <cellStyle name="Normal 9 2 4 2 4 2 4" xfId="21829" xr:uid="{46551FF8-933E-4171-BB27-D4357C1324E8}"/>
    <cellStyle name="Normal 9 2 4 2 4 3" xfId="6128" xr:uid="{00000000-0005-0000-0000-0000691F0000}"/>
    <cellStyle name="Normal 9 2 4 2 4 3 2" xfId="15454" xr:uid="{D122C3B5-47D1-48A8-BFC0-AF6A84A3EB64}"/>
    <cellStyle name="Normal 9 2 4 2 4 3 3" xfId="23901" xr:uid="{DDFE6CE2-3DA7-4546-8401-9E1D0B480559}"/>
    <cellStyle name="Normal 9 2 4 2 4 4" xfId="11237" xr:uid="{CD1B20C2-323F-44FA-BF67-F9B01431FC94}"/>
    <cellStyle name="Normal 9 2 4 2 4 5" xfId="19684" xr:uid="{CF6915C4-A684-4351-BDF3-79C8CFB07EE7}"/>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BD9CE8E7-887D-42AF-A1DC-3C13756706A6}"/>
    <cellStyle name="Normal 9 2 4 2 5 2 2 3" xfId="26459" xr:uid="{2920C627-D204-43CB-8C24-EC04959724BF}"/>
    <cellStyle name="Normal 9 2 4 2 5 2 3" xfId="13795" xr:uid="{D77FAE42-60A7-43F5-97EB-0942F5C8EA39}"/>
    <cellStyle name="Normal 9 2 4 2 5 2 4" xfId="22242" xr:uid="{5F552EC5-4090-43BA-8EC2-10C8001BD449}"/>
    <cellStyle name="Normal 9 2 4 2 5 3" xfId="6541" xr:uid="{00000000-0005-0000-0000-00006D1F0000}"/>
    <cellStyle name="Normal 9 2 4 2 5 3 2" xfId="15867" xr:uid="{BA005DED-F5A5-41A9-9C8A-06BD91D71BA9}"/>
    <cellStyle name="Normal 9 2 4 2 5 3 3" xfId="24314" xr:uid="{3F678D3C-8429-48D7-AA4E-490CD69301C2}"/>
    <cellStyle name="Normal 9 2 4 2 5 4" xfId="11650" xr:uid="{4F9CFDD7-A074-44ED-8BB8-EB8F2B3BEF9A}"/>
    <cellStyle name="Normal 9 2 4 2 5 5" xfId="20097" xr:uid="{D1006B81-042E-4F11-9D28-9A69E4D2A215}"/>
    <cellStyle name="Normal 9 2 4 2 6" xfId="2671" xr:uid="{00000000-0005-0000-0000-00006E1F0000}"/>
    <cellStyle name="Normal 9 2 4 2 6 2" xfId="6954" xr:uid="{00000000-0005-0000-0000-00006F1F0000}"/>
    <cellStyle name="Normal 9 2 4 2 6 2 2" xfId="16280" xr:uid="{1890AA03-D817-452A-AECD-FE541BE0B94C}"/>
    <cellStyle name="Normal 9 2 4 2 6 2 3" xfId="24727" xr:uid="{8A11A380-1450-47B4-B377-8E6DF0CF962D}"/>
    <cellStyle name="Normal 9 2 4 2 6 3" xfId="12063" xr:uid="{A4139025-F21B-4AE8-82EF-AB1B55EAF1B8}"/>
    <cellStyle name="Normal 9 2 4 2 6 4" xfId="20510" xr:uid="{ABB8D27A-1019-4302-81B5-E3B6BECEDA4B}"/>
    <cellStyle name="Normal 9 2 4 2 7" xfId="4889" xr:uid="{00000000-0005-0000-0000-0000701F0000}"/>
    <cellStyle name="Normal 9 2 4 2 7 2" xfId="14215" xr:uid="{3D111CDC-A02E-4C25-8358-0AF6B8661B0F}"/>
    <cellStyle name="Normal 9 2 4 2 7 3" xfId="22662" xr:uid="{20782F86-62C2-44FF-A4B7-91CAEB030B6D}"/>
    <cellStyle name="Normal 9 2 4 2 8" xfId="9064" xr:uid="{7D4090C3-C767-4FFF-8A1F-282B2C8BAE68}"/>
    <cellStyle name="Normal 9 2 4 2 9" xfId="9998" xr:uid="{A9500ABB-05CB-4ADA-8089-A215E0F81E7D}"/>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DB3B2395-63D9-4BD3-B1A7-29BDF67B4708}"/>
    <cellStyle name="Normal 9 2 4 3 2 2 3" xfId="25219" xr:uid="{1D276F71-2C64-4865-8832-BC74889819C0}"/>
    <cellStyle name="Normal 9 2 4 3 2 3" xfId="12555" xr:uid="{6893A32C-8986-48BA-B200-C1662F674924}"/>
    <cellStyle name="Normal 9 2 4 3 2 4" xfId="21002" xr:uid="{5F05250E-12E4-4D13-BFB4-3FF368591ED2}"/>
    <cellStyle name="Normal 9 2 4 3 3" xfId="5301" xr:uid="{00000000-0005-0000-0000-0000741F0000}"/>
    <cellStyle name="Normal 9 2 4 3 3 2" xfId="14627" xr:uid="{6CCFFF65-D118-4F2C-9A47-6C500EB9996A}"/>
    <cellStyle name="Normal 9 2 4 3 3 3" xfId="23074" xr:uid="{D4969D67-14B9-47B9-BCD5-60BB9D4F3708}"/>
    <cellStyle name="Normal 9 2 4 3 4" xfId="9282" xr:uid="{2471E5AC-3D06-4E90-9462-C54FACA9B22B}"/>
    <cellStyle name="Normal 9 2 4 3 5" xfId="10410" xr:uid="{18CA9847-62CE-4486-B6E5-C4179524B8B4}"/>
    <cellStyle name="Normal 9 2 4 3 6" xfId="18857" xr:uid="{A0D18565-D0CB-4437-9C5F-253F121806F6}"/>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897C2447-7F43-45DB-AF3F-14B2B199E1D8}"/>
    <cellStyle name="Normal 9 2 4 4 2 2 3" xfId="25632" xr:uid="{4A7A7545-231D-4DAB-BF63-3EDE99C0CC35}"/>
    <cellStyle name="Normal 9 2 4 4 2 3" xfId="12968" xr:uid="{CAE2B1E0-D14D-4715-919A-A85D860B3DC5}"/>
    <cellStyle name="Normal 9 2 4 4 2 4" xfId="21415" xr:uid="{F2767E97-F463-4FAC-9664-65EFA75AA128}"/>
    <cellStyle name="Normal 9 2 4 4 3" xfId="5714" xr:uid="{00000000-0005-0000-0000-0000781F0000}"/>
    <cellStyle name="Normal 9 2 4 4 3 2" xfId="15040" xr:uid="{E4B04DDC-4DCC-4D2F-A995-C70D4E569C80}"/>
    <cellStyle name="Normal 9 2 4 4 3 3" xfId="23487" xr:uid="{E21AE95F-03F2-4788-8EC5-BFAFC66C3C37}"/>
    <cellStyle name="Normal 9 2 4 4 4" xfId="10823" xr:uid="{57C600C5-5440-4DA3-A963-3D3FA19FDB5D}"/>
    <cellStyle name="Normal 9 2 4 4 5" xfId="19270" xr:uid="{EFE861B6-ED72-4C8B-A45B-77B9426E7CA3}"/>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8E853C9D-736B-4E09-A644-EFCA8761B460}"/>
    <cellStyle name="Normal 9 2 4 5 2 2 3" xfId="26045" xr:uid="{A4CF7E90-EAB4-4602-A8F3-147B200CC935}"/>
    <cellStyle name="Normal 9 2 4 5 2 3" xfId="13381" xr:uid="{BF371917-045F-4FB4-9011-B27A21454350}"/>
    <cellStyle name="Normal 9 2 4 5 2 4" xfId="21828" xr:uid="{6CE24FF4-DCF4-4662-A5FF-CD1E537A470F}"/>
    <cellStyle name="Normal 9 2 4 5 3" xfId="6127" xr:uid="{00000000-0005-0000-0000-00007C1F0000}"/>
    <cellStyle name="Normal 9 2 4 5 3 2" xfId="15453" xr:uid="{C53F8F2E-E186-43BD-AD76-9B7F38B98DD7}"/>
    <cellStyle name="Normal 9 2 4 5 3 3" xfId="23900" xr:uid="{34FF2A86-D284-4E54-A8CC-0F32A8735E09}"/>
    <cellStyle name="Normal 9 2 4 5 4" xfId="11236" xr:uid="{17AC88E0-8526-4776-90BA-28220B1CD090}"/>
    <cellStyle name="Normal 9 2 4 5 5" xfId="19683" xr:uid="{C100CC63-61C6-4525-883F-DA8210ADCB3F}"/>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A4154C12-C6B4-45C0-AF02-961B069E88E3}"/>
    <cellStyle name="Normal 9 2 4 6 2 2 3" xfId="26458" xr:uid="{D3A7B2EE-1F55-470C-8498-E18700CCDF6C}"/>
    <cellStyle name="Normal 9 2 4 6 2 3" xfId="13794" xr:uid="{E88D1ADF-FBF2-4FF0-8597-AE582B144D3F}"/>
    <cellStyle name="Normal 9 2 4 6 2 4" xfId="22241" xr:uid="{9F4E1F0C-62A6-4B9A-ABDF-6D128B06BA03}"/>
    <cellStyle name="Normal 9 2 4 6 3" xfId="6540" xr:uid="{00000000-0005-0000-0000-0000801F0000}"/>
    <cellStyle name="Normal 9 2 4 6 3 2" xfId="15866" xr:uid="{B524C10C-0503-4A1E-8337-5F1A845D5B82}"/>
    <cellStyle name="Normal 9 2 4 6 3 3" xfId="24313" xr:uid="{429EF6FA-7BE2-4998-9B89-E00A2D62044B}"/>
    <cellStyle name="Normal 9 2 4 6 4" xfId="11649" xr:uid="{AD1BE9DE-83CC-432C-9CDC-39F94DBF34B1}"/>
    <cellStyle name="Normal 9 2 4 6 5" xfId="20096" xr:uid="{1AF11395-B355-45BB-BD81-F7ECC3583C85}"/>
    <cellStyle name="Normal 9 2 4 7" xfId="2670" xr:uid="{00000000-0005-0000-0000-0000811F0000}"/>
    <cellStyle name="Normal 9 2 4 7 2" xfId="6953" xr:uid="{00000000-0005-0000-0000-0000821F0000}"/>
    <cellStyle name="Normal 9 2 4 7 2 2" xfId="16279" xr:uid="{10A210E8-29EA-42B1-A05F-5736C896E68F}"/>
    <cellStyle name="Normal 9 2 4 7 2 3" xfId="24726" xr:uid="{769BC09A-68C8-4789-860D-E6A8ADCCEE8E}"/>
    <cellStyle name="Normal 9 2 4 7 3" xfId="12062" xr:uid="{0BE09F51-4362-4758-BB46-FFD4501A9325}"/>
    <cellStyle name="Normal 9 2 4 7 4" xfId="20509" xr:uid="{5C6122ED-8A3A-42B4-9A13-BFA6DAC5D79B}"/>
    <cellStyle name="Normal 9 2 4 8" xfId="4888" xr:uid="{00000000-0005-0000-0000-0000831F0000}"/>
    <cellStyle name="Normal 9 2 4 8 2" xfId="14214" xr:uid="{ED104881-6642-4F22-893A-F92D98DC9D7A}"/>
    <cellStyle name="Normal 9 2 4 8 3" xfId="22661" xr:uid="{0B112576-4AB4-4FB4-9556-A62EC27455D5}"/>
    <cellStyle name="Normal 9 2 4 9" xfId="8857" xr:uid="{D785C0E6-B403-4CCC-AB0B-78E822EF1E40}"/>
    <cellStyle name="Normal 9 2 5" xfId="526" xr:uid="{00000000-0005-0000-0000-0000841F0000}"/>
    <cellStyle name="Normal 9 2 5 10" xfId="18446" xr:uid="{77B0FD04-DE8F-4004-A058-62948FA557A8}"/>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81E851BD-FF90-420E-8A56-7A4035B7D696}"/>
    <cellStyle name="Normal 9 2 5 2 2 2 3" xfId="25221" xr:uid="{ED8C346A-EBDB-4B76-B67F-4EB268B9BCFB}"/>
    <cellStyle name="Normal 9 2 5 2 2 3" xfId="12557" xr:uid="{917EC9B9-6598-4CA0-8A8C-6AD8695D441F}"/>
    <cellStyle name="Normal 9 2 5 2 2 4" xfId="21004" xr:uid="{E2DFFD89-22EB-4BF2-8FF5-1961A7482D43}"/>
    <cellStyle name="Normal 9 2 5 2 3" xfId="5303" xr:uid="{00000000-0005-0000-0000-0000881F0000}"/>
    <cellStyle name="Normal 9 2 5 2 3 2" xfId="14629" xr:uid="{C8ADEFBD-A019-4DC0-8609-FDC2EFFEC120}"/>
    <cellStyle name="Normal 9 2 5 2 3 3" xfId="23076" xr:uid="{2DE21092-5AFC-4B2D-AC2B-A8C681B69074}"/>
    <cellStyle name="Normal 9 2 5 2 4" xfId="9398" xr:uid="{5B2A416E-986C-4898-8893-9EAFDDDBCDD4}"/>
    <cellStyle name="Normal 9 2 5 2 5" xfId="10412" xr:uid="{477C26EE-B677-4E81-86AC-624F71BF4B91}"/>
    <cellStyle name="Normal 9 2 5 2 6" xfId="18859" xr:uid="{B5863306-CECF-4F51-8F85-CECC97A56B2A}"/>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509DB780-B3EC-4A99-9759-8F4653D6096D}"/>
    <cellStyle name="Normal 9 2 5 3 2 2 3" xfId="25634" xr:uid="{083E194F-6CD2-4FCD-B27A-AB1080F336EB}"/>
    <cellStyle name="Normal 9 2 5 3 2 3" xfId="12970" xr:uid="{A19DDDD7-04A9-4864-BFAA-400B5AA78B0F}"/>
    <cellStyle name="Normal 9 2 5 3 2 4" xfId="21417" xr:uid="{1AF8394F-CD6B-466C-B1BF-3ABFF8D1DA78}"/>
    <cellStyle name="Normal 9 2 5 3 3" xfId="5716" xr:uid="{00000000-0005-0000-0000-00008C1F0000}"/>
    <cellStyle name="Normal 9 2 5 3 3 2" xfId="15042" xr:uid="{F708E5FE-91A7-402A-8D5F-BE3537B77F9B}"/>
    <cellStyle name="Normal 9 2 5 3 3 3" xfId="23489" xr:uid="{86680043-144F-4FAD-A584-FD39A9B0C6C3}"/>
    <cellStyle name="Normal 9 2 5 3 4" xfId="10825" xr:uid="{18BB803F-75ED-4A45-9D53-A8FFBB594376}"/>
    <cellStyle name="Normal 9 2 5 3 5" xfId="19272" xr:uid="{832173F8-0467-46C0-BEC4-0E281E1FDC4B}"/>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3A82A749-ACA2-4B73-9DEE-24FD3DE3A49C}"/>
    <cellStyle name="Normal 9 2 5 4 2 2 3" xfId="26047" xr:uid="{1FAD4B99-4435-4A6C-8C9C-EA6062EA90A6}"/>
    <cellStyle name="Normal 9 2 5 4 2 3" xfId="13383" xr:uid="{FA152DF4-638A-422E-BE13-C828208531FB}"/>
    <cellStyle name="Normal 9 2 5 4 2 4" xfId="21830" xr:uid="{4685B583-0148-4472-BDFF-82C021169267}"/>
    <cellStyle name="Normal 9 2 5 4 3" xfId="6129" xr:uid="{00000000-0005-0000-0000-0000901F0000}"/>
    <cellStyle name="Normal 9 2 5 4 3 2" xfId="15455" xr:uid="{428EA048-9746-4AC5-BDC9-0E4270960216}"/>
    <cellStyle name="Normal 9 2 5 4 3 3" xfId="23902" xr:uid="{82E95EC4-134E-40F6-A249-05E98C74BD1C}"/>
    <cellStyle name="Normal 9 2 5 4 4" xfId="11238" xr:uid="{CCC13446-8DB4-478D-A831-8FB3054A603A}"/>
    <cellStyle name="Normal 9 2 5 4 5" xfId="19685" xr:uid="{064E07C4-4B08-4293-AE0A-06A6D800E089}"/>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C74F96F5-0E11-437B-92B2-8502F9F3C46C}"/>
    <cellStyle name="Normal 9 2 5 5 2 2 3" xfId="26460" xr:uid="{5136C649-FF5D-407D-950B-2FF394EC4E72}"/>
    <cellStyle name="Normal 9 2 5 5 2 3" xfId="13796" xr:uid="{BC92FEF8-1228-4693-A127-5607BB840DC5}"/>
    <cellStyle name="Normal 9 2 5 5 2 4" xfId="22243" xr:uid="{E865D401-CE02-4ADA-8B5D-DD6BCCD9C153}"/>
    <cellStyle name="Normal 9 2 5 5 3" xfId="6542" xr:uid="{00000000-0005-0000-0000-0000941F0000}"/>
    <cellStyle name="Normal 9 2 5 5 3 2" xfId="15868" xr:uid="{3FCEE1D4-F889-4978-BF24-E4D0075492A4}"/>
    <cellStyle name="Normal 9 2 5 5 3 3" xfId="24315" xr:uid="{03CF7A4A-A959-4CD1-9B05-3F76AE56AA1D}"/>
    <cellStyle name="Normal 9 2 5 5 4" xfId="11651" xr:uid="{45C5B5E9-00BA-48F1-AA85-BC58FF497BA6}"/>
    <cellStyle name="Normal 9 2 5 5 5" xfId="20098" xr:uid="{1BBCE952-E1C9-4FF4-A28C-75C3A3C4B474}"/>
    <cellStyle name="Normal 9 2 5 6" xfId="2672" xr:uid="{00000000-0005-0000-0000-0000951F0000}"/>
    <cellStyle name="Normal 9 2 5 6 2" xfId="6955" xr:uid="{00000000-0005-0000-0000-0000961F0000}"/>
    <cellStyle name="Normal 9 2 5 6 2 2" xfId="16281" xr:uid="{2115B359-8801-432F-8052-BF6D0E99B5F1}"/>
    <cellStyle name="Normal 9 2 5 6 2 3" xfId="24728" xr:uid="{74EEBE75-363E-4E28-8F62-70DB54A62302}"/>
    <cellStyle name="Normal 9 2 5 6 3" xfId="12064" xr:uid="{79C82EC5-5F01-4B79-B09D-88FBCCAEDF5A}"/>
    <cellStyle name="Normal 9 2 5 6 4" xfId="20511" xr:uid="{36C3AF38-090B-467B-A618-1246446B7023}"/>
    <cellStyle name="Normal 9 2 5 7" xfId="4890" xr:uid="{00000000-0005-0000-0000-0000971F0000}"/>
    <cellStyle name="Normal 9 2 5 7 2" xfId="14216" xr:uid="{4F4EF073-B248-4F82-B2FF-0A9F501B5A9B}"/>
    <cellStyle name="Normal 9 2 5 7 3" xfId="22663" xr:uid="{9B6E7C17-407D-40C1-894D-4C55CA67B1F7}"/>
    <cellStyle name="Normal 9 2 5 8" xfId="8973" xr:uid="{BA9464C2-72F7-4B38-B1BD-6986FFA433D9}"/>
    <cellStyle name="Normal 9 2 5 9" xfId="9999" xr:uid="{280FD24E-8870-49BF-95AA-D4560B32F254}"/>
    <cellStyle name="Normal 9 2 6" xfId="978" xr:uid="{00000000-0005-0000-0000-0000981F0000}"/>
    <cellStyle name="Normal 9 2 6 2" xfId="3211" xr:uid="{00000000-0005-0000-0000-0000991F0000}"/>
    <cellStyle name="Normal 9 2 6 2 2" xfId="7433" xr:uid="{00000000-0005-0000-0000-00009A1F0000}"/>
    <cellStyle name="Normal 9 2 6 2 2 2" xfId="16759" xr:uid="{67968976-2F8C-45FD-B413-70FAA9CF0CAA}"/>
    <cellStyle name="Normal 9 2 6 2 2 3" xfId="25206" xr:uid="{8654C5E3-4E12-4F04-B792-9A63591B19FF}"/>
    <cellStyle name="Normal 9 2 6 2 3" xfId="12542" xr:uid="{5F911C0B-D48D-4212-927F-295F533D1067}"/>
    <cellStyle name="Normal 9 2 6 2 4" xfId="20989" xr:uid="{AA24D865-EC22-416A-A170-B45226881FAA}"/>
    <cellStyle name="Normal 9 2 6 3" xfId="5288" xr:uid="{00000000-0005-0000-0000-00009B1F0000}"/>
    <cellStyle name="Normal 9 2 6 3 2" xfId="14614" xr:uid="{4B7D7602-7B64-41CF-B04F-347F4287CD68}"/>
    <cellStyle name="Normal 9 2 6 3 3" xfId="23061" xr:uid="{B0796871-3DC8-4ADD-ABFD-B33D9BE0274E}"/>
    <cellStyle name="Normal 9 2 6 4" xfId="9176" xr:uid="{F3933A08-5B20-47C9-B0FC-7B73F4B0BA7D}"/>
    <cellStyle name="Normal 9 2 6 5" xfId="10397" xr:uid="{66D3AF8A-A6FE-4670-B4E4-9E9FD2BF04B2}"/>
    <cellStyle name="Normal 9 2 6 6" xfId="18844" xr:uid="{C0212037-6205-4253-814A-5909A1A06192}"/>
    <cellStyle name="Normal 9 2 7" xfId="1394" xr:uid="{00000000-0005-0000-0000-00009C1F0000}"/>
    <cellStyle name="Normal 9 2 7 2" xfId="3624" xr:uid="{00000000-0005-0000-0000-00009D1F0000}"/>
    <cellStyle name="Normal 9 2 7 2 2" xfId="7846" xr:uid="{00000000-0005-0000-0000-00009E1F0000}"/>
    <cellStyle name="Normal 9 2 7 2 2 2" xfId="17172" xr:uid="{CA12AB6D-BB49-462F-B25D-16AF23C35EC2}"/>
    <cellStyle name="Normal 9 2 7 2 2 3" xfId="25619" xr:uid="{5FFB2293-2CA5-476F-B4FD-B3A6E18015CF}"/>
    <cellStyle name="Normal 9 2 7 2 3" xfId="12955" xr:uid="{4D29E288-4732-44C5-B47E-FB23327C826C}"/>
    <cellStyle name="Normal 9 2 7 2 4" xfId="21402" xr:uid="{E7312A18-84D5-4D96-8104-D7FC3CE146E8}"/>
    <cellStyle name="Normal 9 2 7 3" xfId="5701" xr:uid="{00000000-0005-0000-0000-00009F1F0000}"/>
    <cellStyle name="Normal 9 2 7 3 2" xfId="15027" xr:uid="{7FB1A6E6-5FE8-4F64-8D89-C1E9D559672C}"/>
    <cellStyle name="Normal 9 2 7 3 3" xfId="23474" xr:uid="{E7AE560D-82A8-4236-824A-BE57246477B7}"/>
    <cellStyle name="Normal 9 2 7 4" xfId="10810" xr:uid="{C172E696-E792-4124-AB11-4E329A3F360A}"/>
    <cellStyle name="Normal 9 2 7 5" xfId="19257" xr:uid="{69AB9754-4552-4671-8D0D-D4BF6D762390}"/>
    <cellStyle name="Normal 9 2 8" xfId="1807" xr:uid="{00000000-0005-0000-0000-0000A01F0000}"/>
    <cellStyle name="Normal 9 2 8 2" xfId="4037" xr:uid="{00000000-0005-0000-0000-0000A11F0000}"/>
    <cellStyle name="Normal 9 2 8 2 2" xfId="8259" xr:uid="{00000000-0005-0000-0000-0000A21F0000}"/>
    <cellStyle name="Normal 9 2 8 2 2 2" xfId="17585" xr:uid="{E272A0E6-E043-4C17-A61D-B59612B55FA7}"/>
    <cellStyle name="Normal 9 2 8 2 2 3" xfId="26032" xr:uid="{B61D767C-4B9B-4233-9066-54943A6D6E5D}"/>
    <cellStyle name="Normal 9 2 8 2 3" xfId="13368" xr:uid="{9321F93C-568A-4BD1-9D6F-99F55A9FD363}"/>
    <cellStyle name="Normal 9 2 8 2 4" xfId="21815" xr:uid="{52EBE549-ACE5-4042-9E4A-2014C663DA3B}"/>
    <cellStyle name="Normal 9 2 8 3" xfId="6114" xr:uid="{00000000-0005-0000-0000-0000A31F0000}"/>
    <cellStyle name="Normal 9 2 8 3 2" xfId="15440" xr:uid="{F36B28AF-E41B-4B14-B3D1-E1429035F9AF}"/>
    <cellStyle name="Normal 9 2 8 3 3" xfId="23887" xr:uid="{8AD69821-6DDA-4E4D-BF97-FA246591A10C}"/>
    <cellStyle name="Normal 9 2 8 4" xfId="11223" xr:uid="{7A5C280A-843C-4697-A80A-E515D425C74E}"/>
    <cellStyle name="Normal 9 2 8 5" xfId="19670" xr:uid="{B7031F95-3806-49C5-AE8D-E2CC382E3055}"/>
    <cellStyle name="Normal 9 2 9" xfId="2221" xr:uid="{00000000-0005-0000-0000-0000A41F0000}"/>
    <cellStyle name="Normal 9 2 9 2" xfId="4450" xr:uid="{00000000-0005-0000-0000-0000A51F0000}"/>
    <cellStyle name="Normal 9 2 9 2 2" xfId="8672" xr:uid="{00000000-0005-0000-0000-0000A61F0000}"/>
    <cellStyle name="Normal 9 2 9 2 2 2" xfId="17998" xr:uid="{089B8E35-EA5E-4986-9D37-FCD451A754EE}"/>
    <cellStyle name="Normal 9 2 9 2 2 3" xfId="26445" xr:uid="{A685C18F-B071-4E2E-83F6-18FB4AC7A6C2}"/>
    <cellStyle name="Normal 9 2 9 2 3" xfId="13781" xr:uid="{325C6E5B-1C64-4581-879F-9BAFDCF5CD39}"/>
    <cellStyle name="Normal 9 2 9 2 4" xfId="22228" xr:uid="{2A76042D-C4DA-48DE-A045-5CDA0641B1F4}"/>
    <cellStyle name="Normal 9 2 9 3" xfId="6527" xr:uid="{00000000-0005-0000-0000-0000A71F0000}"/>
    <cellStyle name="Normal 9 2 9 3 2" xfId="15853" xr:uid="{3F0FCF9B-907E-470B-8103-64873B4BA6D0}"/>
    <cellStyle name="Normal 9 2 9 3 3" xfId="24300" xr:uid="{49346C4E-5AD2-4A3D-9E17-9F36F9EF72AE}"/>
    <cellStyle name="Normal 9 2 9 4" xfId="11636" xr:uid="{F13F2B62-8FF6-4026-8D6A-077A21F2DC7C}"/>
    <cellStyle name="Normal 9 2 9 5" xfId="20083" xr:uid="{3D74D83D-C7EA-4560-BE8B-95ACC10296AC}"/>
    <cellStyle name="Normal 9 3" xfId="527" xr:uid="{00000000-0005-0000-0000-0000A81F0000}"/>
    <cellStyle name="Normal 9 3 10" xfId="4891" xr:uid="{00000000-0005-0000-0000-0000A91F0000}"/>
    <cellStyle name="Normal 9 3 10 2" xfId="14217" xr:uid="{D7255B17-13C7-4A38-87FB-C52674633E5E}"/>
    <cellStyle name="Normal 9 3 10 3" xfId="22664" xr:uid="{345EBDC3-5878-4931-87A2-91581921B0CF}"/>
    <cellStyle name="Normal 9 3 11" xfId="8777" xr:uid="{1F3D7E21-FC22-4F0C-9371-3D8250746BB7}"/>
    <cellStyle name="Normal 9 3 12" xfId="10000" xr:uid="{E9DA2A27-28F2-4D2A-91F3-792F3177501D}"/>
    <cellStyle name="Normal 9 3 13" xfId="18447" xr:uid="{CEF6E918-EF65-4BB8-A26C-A556F161F982}"/>
    <cellStyle name="Normal 9 3 2" xfId="528" xr:uid="{00000000-0005-0000-0000-0000AA1F0000}"/>
    <cellStyle name="Normal 9 3 2 10" xfId="8840" xr:uid="{94797BE2-1721-4871-A768-79D4D45F48BB}"/>
    <cellStyle name="Normal 9 3 2 11" xfId="10001" xr:uid="{11A1080B-1E42-47EC-A177-B4105C584A68}"/>
    <cellStyle name="Normal 9 3 2 12" xfId="18448" xr:uid="{CC9420A3-5D4E-48BD-BC37-977E07184D8D}"/>
    <cellStyle name="Normal 9 3 2 2" xfId="529" xr:uid="{00000000-0005-0000-0000-0000AB1F0000}"/>
    <cellStyle name="Normal 9 3 2 2 10" xfId="10002" xr:uid="{FE2E2589-EAD6-40F9-A68E-D48C1F0B5C35}"/>
    <cellStyle name="Normal 9 3 2 2 11" xfId="18449" xr:uid="{2FCBAB41-A2F1-4A1A-A98C-8889575E540F}"/>
    <cellStyle name="Normal 9 3 2 2 2" xfId="530" xr:uid="{00000000-0005-0000-0000-0000AC1F0000}"/>
    <cellStyle name="Normal 9 3 2 2 2 10" xfId="18450" xr:uid="{17DCE91E-89AC-4672-8ADD-D02687F97C24}"/>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830E37F3-2897-4B5D-AB26-D801EB690C92}"/>
    <cellStyle name="Normal 9 3 2 2 2 2 2 2 3" xfId="25225" xr:uid="{53E8EB0F-EA9C-4800-9927-E756176C8953}"/>
    <cellStyle name="Normal 9 3 2 2 2 2 2 3" xfId="12561" xr:uid="{84983988-6C45-47FB-9B80-3CFD2DD7FE74}"/>
    <cellStyle name="Normal 9 3 2 2 2 2 2 4" xfId="21008" xr:uid="{85AC9DFB-750A-44C6-B811-7ED5DB452D1E}"/>
    <cellStyle name="Normal 9 3 2 2 2 2 3" xfId="5307" xr:uid="{00000000-0005-0000-0000-0000B01F0000}"/>
    <cellStyle name="Normal 9 3 2 2 2 2 3 2" xfId="14633" xr:uid="{8179020C-CD4C-4C68-91FA-A1943A2E861C}"/>
    <cellStyle name="Normal 9 3 2 2 2 2 3 3" xfId="23080" xr:uid="{DD897008-CA07-4974-8E9C-EF9E57A0070A}"/>
    <cellStyle name="Normal 9 3 2 2 2 2 4" xfId="9575" xr:uid="{DA05DE06-1987-4B8E-8439-C692853FF296}"/>
    <cellStyle name="Normal 9 3 2 2 2 2 5" xfId="10416" xr:uid="{2DC578F8-D465-4D17-917F-9B2853B0C326}"/>
    <cellStyle name="Normal 9 3 2 2 2 2 6" xfId="18863" xr:uid="{4E0F728D-2574-48C9-8012-F59F83C8FA87}"/>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48E16533-9E74-4DF3-961E-21DB3BD5305A}"/>
    <cellStyle name="Normal 9 3 2 2 2 3 2 2 3" xfId="25638" xr:uid="{0699E533-EC04-4F69-AB74-D8E4C9782CDB}"/>
    <cellStyle name="Normal 9 3 2 2 2 3 2 3" xfId="12974" xr:uid="{AC8AA693-5F2E-4C76-AC6C-8A2D08E18A84}"/>
    <cellStyle name="Normal 9 3 2 2 2 3 2 4" xfId="21421" xr:uid="{C0EBE54F-3A3C-4CA5-800A-FF172AE151C6}"/>
    <cellStyle name="Normal 9 3 2 2 2 3 3" xfId="5720" xr:uid="{00000000-0005-0000-0000-0000B41F0000}"/>
    <cellStyle name="Normal 9 3 2 2 2 3 3 2" xfId="15046" xr:uid="{62886015-ABE6-4CB6-901E-D974C161DEC1}"/>
    <cellStyle name="Normal 9 3 2 2 2 3 3 3" xfId="23493" xr:uid="{9B1B23B5-0879-4EDB-BDF7-746F26A21409}"/>
    <cellStyle name="Normal 9 3 2 2 2 3 4" xfId="10829" xr:uid="{DBDC8B56-17E9-499E-8BFE-3A90DB3A67AF}"/>
    <cellStyle name="Normal 9 3 2 2 2 3 5" xfId="19276" xr:uid="{A2F9BCAD-CA07-4C71-80BF-6E5A07B0CCA8}"/>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496F3CA6-EB90-4444-83E4-8C2DA1999BA6}"/>
    <cellStyle name="Normal 9 3 2 2 2 4 2 2 3" xfId="26051" xr:uid="{49F6B01C-5A37-4646-82DA-83468A3F28AD}"/>
    <cellStyle name="Normal 9 3 2 2 2 4 2 3" xfId="13387" xr:uid="{6EA8E274-DA8F-4378-BF72-8F34A6905A92}"/>
    <cellStyle name="Normal 9 3 2 2 2 4 2 4" xfId="21834" xr:uid="{F1776B6E-6BA6-4D95-8557-1EF5C3F39BA9}"/>
    <cellStyle name="Normal 9 3 2 2 2 4 3" xfId="6133" xr:uid="{00000000-0005-0000-0000-0000B81F0000}"/>
    <cellStyle name="Normal 9 3 2 2 2 4 3 2" xfId="15459" xr:uid="{814C12CC-82CE-488D-B317-69E73C126D8B}"/>
    <cellStyle name="Normal 9 3 2 2 2 4 3 3" xfId="23906" xr:uid="{BF1D0E36-06AE-4E5B-9EEC-4B4A61C3CC1E}"/>
    <cellStyle name="Normal 9 3 2 2 2 4 4" xfId="11242" xr:uid="{3CFE0557-2D53-42FA-845F-6AF18768F495}"/>
    <cellStyle name="Normal 9 3 2 2 2 4 5" xfId="19689" xr:uid="{454CD76B-6A61-4E95-BDA4-6A612B1EA295}"/>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183F7642-AC60-4D4E-8EE3-46A50CB5C72E}"/>
    <cellStyle name="Normal 9 3 2 2 2 5 2 2 3" xfId="26464" xr:uid="{50D090C7-F3CE-404A-9667-BB543958EA06}"/>
    <cellStyle name="Normal 9 3 2 2 2 5 2 3" xfId="13800" xr:uid="{32DCF171-34D7-4386-A769-61322872B4B1}"/>
    <cellStyle name="Normal 9 3 2 2 2 5 2 4" xfId="22247" xr:uid="{955ADF47-DC53-41EF-A8C1-8B8438833EE5}"/>
    <cellStyle name="Normal 9 3 2 2 2 5 3" xfId="6546" xr:uid="{00000000-0005-0000-0000-0000BC1F0000}"/>
    <cellStyle name="Normal 9 3 2 2 2 5 3 2" xfId="15872" xr:uid="{51C33ACE-F14A-439D-86CB-2BA17A0786F2}"/>
    <cellStyle name="Normal 9 3 2 2 2 5 3 3" xfId="24319" xr:uid="{4781C1D3-968C-4A13-A482-71B45CE86376}"/>
    <cellStyle name="Normal 9 3 2 2 2 5 4" xfId="11655" xr:uid="{17C03E29-1589-4A70-9E6F-F3D5411A9863}"/>
    <cellStyle name="Normal 9 3 2 2 2 5 5" xfId="20102" xr:uid="{5E7765E6-7FA1-4139-9E48-9525C4A05A47}"/>
    <cellStyle name="Normal 9 3 2 2 2 6" xfId="2676" xr:uid="{00000000-0005-0000-0000-0000BD1F0000}"/>
    <cellStyle name="Normal 9 3 2 2 2 6 2" xfId="6959" xr:uid="{00000000-0005-0000-0000-0000BE1F0000}"/>
    <cellStyle name="Normal 9 3 2 2 2 6 2 2" xfId="16285" xr:uid="{4D5820E4-156A-41A6-AE47-2A58A32A3786}"/>
    <cellStyle name="Normal 9 3 2 2 2 6 2 3" xfId="24732" xr:uid="{AE036FFB-A1A3-468E-8911-F010377484A6}"/>
    <cellStyle name="Normal 9 3 2 2 2 6 3" xfId="12068" xr:uid="{4EFA829C-919C-4BEB-9FEA-B031967A399F}"/>
    <cellStyle name="Normal 9 3 2 2 2 6 4" xfId="20515" xr:uid="{85C3E040-29EF-456C-B063-9A6D0A4698D0}"/>
    <cellStyle name="Normal 9 3 2 2 2 7" xfId="4894" xr:uid="{00000000-0005-0000-0000-0000BF1F0000}"/>
    <cellStyle name="Normal 9 3 2 2 2 7 2" xfId="14220" xr:uid="{C43E8454-2C02-4D39-B2A6-0A46140F905F}"/>
    <cellStyle name="Normal 9 3 2 2 2 7 3" xfId="22667" xr:uid="{3B6EA926-AD4A-41E6-95CF-4F11C7DDB60F}"/>
    <cellStyle name="Normal 9 3 2 2 2 8" xfId="9150" xr:uid="{F54F74BE-A583-4C94-A198-8E0D27AD7F4F}"/>
    <cellStyle name="Normal 9 3 2 2 2 9" xfId="10003" xr:uid="{B3055924-FBC3-464A-861B-73131218C9CE}"/>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92C976AD-5A13-49D9-8916-6F44734C2E11}"/>
    <cellStyle name="Normal 9 3 2 2 3 2 2 3" xfId="25224" xr:uid="{ABA8D1BC-576A-4794-B476-CFE99CDA17C9}"/>
    <cellStyle name="Normal 9 3 2 2 3 2 3" xfId="12560" xr:uid="{FA8347FC-FA54-4495-A921-2F57BF39D18D}"/>
    <cellStyle name="Normal 9 3 2 2 3 2 4" xfId="21007" xr:uid="{D2C83325-A10D-41BD-8255-C5B76DE542EB}"/>
    <cellStyle name="Normal 9 3 2 2 3 3" xfId="5306" xr:uid="{00000000-0005-0000-0000-0000C31F0000}"/>
    <cellStyle name="Normal 9 3 2 2 3 3 2" xfId="14632" xr:uid="{843A5033-D0E1-47D9-ADFA-26207F88CAD9}"/>
    <cellStyle name="Normal 9 3 2 2 3 3 3" xfId="23079" xr:uid="{CA83EA71-982B-4E09-83F7-856177560F50}"/>
    <cellStyle name="Normal 9 3 2 2 3 4" xfId="9368" xr:uid="{B3189122-1774-442D-BD5B-8DA329618536}"/>
    <cellStyle name="Normal 9 3 2 2 3 5" xfId="10415" xr:uid="{DBA3902C-48B1-40B9-A1AE-AE25834023A5}"/>
    <cellStyle name="Normal 9 3 2 2 3 6" xfId="18862" xr:uid="{7609B51E-0309-450E-BE38-5735D1391409}"/>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F2BB51FD-A129-4F66-A6FF-DC39B1E52342}"/>
    <cellStyle name="Normal 9 3 2 2 4 2 2 3" xfId="25637" xr:uid="{BC7CA577-BA48-4B09-A203-2F22872975BB}"/>
    <cellStyle name="Normal 9 3 2 2 4 2 3" xfId="12973" xr:uid="{07EECDCF-1D81-46DB-8191-30E5B0F8AD0F}"/>
    <cellStyle name="Normal 9 3 2 2 4 2 4" xfId="21420" xr:uid="{2876D685-8F9B-4D7B-A7C6-E00920DB31FA}"/>
    <cellStyle name="Normal 9 3 2 2 4 3" xfId="5719" xr:uid="{00000000-0005-0000-0000-0000C71F0000}"/>
    <cellStyle name="Normal 9 3 2 2 4 3 2" xfId="15045" xr:uid="{D1CE6ECE-4B7F-41D5-BAAF-27C2C4CF742D}"/>
    <cellStyle name="Normal 9 3 2 2 4 3 3" xfId="23492" xr:uid="{CFE88F93-C969-49E2-8494-CCE832ABA656}"/>
    <cellStyle name="Normal 9 3 2 2 4 4" xfId="10828" xr:uid="{C2D41222-BDBE-4A57-B892-6B52A45DAB24}"/>
    <cellStyle name="Normal 9 3 2 2 4 5" xfId="19275" xr:uid="{2C8BFB83-D601-429D-B08C-A45BCC72DC19}"/>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B1081167-2C6D-4F88-97A2-EB48C0CCDF98}"/>
    <cellStyle name="Normal 9 3 2 2 5 2 2 3" xfId="26050" xr:uid="{32981BF3-EFCD-469B-8452-CFBB7F1A5802}"/>
    <cellStyle name="Normal 9 3 2 2 5 2 3" xfId="13386" xr:uid="{FB8875D9-835A-4C9A-BFA6-BB9A691E2ECB}"/>
    <cellStyle name="Normal 9 3 2 2 5 2 4" xfId="21833" xr:uid="{9881BB77-F198-45A4-A9FD-613DB1E7F0D2}"/>
    <cellStyle name="Normal 9 3 2 2 5 3" xfId="6132" xr:uid="{00000000-0005-0000-0000-0000CB1F0000}"/>
    <cellStyle name="Normal 9 3 2 2 5 3 2" xfId="15458" xr:uid="{4C8D0FD6-277A-4FF9-A467-FD4F522B89BD}"/>
    <cellStyle name="Normal 9 3 2 2 5 3 3" xfId="23905" xr:uid="{B1EDB835-E590-4239-8082-D60150BFB7C6}"/>
    <cellStyle name="Normal 9 3 2 2 5 4" xfId="11241" xr:uid="{689A7242-3405-4C64-9797-BB6AD3CDC7EF}"/>
    <cellStyle name="Normal 9 3 2 2 5 5" xfId="19688" xr:uid="{1E3B1BAA-91B3-4F34-A8A5-45F0B45D64C5}"/>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E19253E1-96BE-4CB8-A2BA-C07A3DBCA097}"/>
    <cellStyle name="Normal 9 3 2 2 6 2 2 3" xfId="26463" xr:uid="{A73F48CE-EE78-42BB-B8FB-C6BFB585EC5D}"/>
    <cellStyle name="Normal 9 3 2 2 6 2 3" xfId="13799" xr:uid="{5FC5B0F2-AA0D-4983-8EAB-58B6209EF51A}"/>
    <cellStyle name="Normal 9 3 2 2 6 2 4" xfId="22246" xr:uid="{935C5099-1C79-41AC-A9B0-260EAB9C69AF}"/>
    <cellStyle name="Normal 9 3 2 2 6 3" xfId="6545" xr:uid="{00000000-0005-0000-0000-0000CF1F0000}"/>
    <cellStyle name="Normal 9 3 2 2 6 3 2" xfId="15871" xr:uid="{30672F60-A018-40FA-94F8-67953479678C}"/>
    <cellStyle name="Normal 9 3 2 2 6 3 3" xfId="24318" xr:uid="{487E7E79-2FC3-437B-A582-C04F06395FE5}"/>
    <cellStyle name="Normal 9 3 2 2 6 4" xfId="11654" xr:uid="{38AE20B6-38EA-42A2-BFFB-715A24082983}"/>
    <cellStyle name="Normal 9 3 2 2 6 5" xfId="20101" xr:uid="{09365B3A-B830-43EB-BC74-4CD578022A95}"/>
    <cellStyle name="Normal 9 3 2 2 7" xfId="2675" xr:uid="{00000000-0005-0000-0000-0000D01F0000}"/>
    <cellStyle name="Normal 9 3 2 2 7 2" xfId="6958" xr:uid="{00000000-0005-0000-0000-0000D11F0000}"/>
    <cellStyle name="Normal 9 3 2 2 7 2 2" xfId="16284" xr:uid="{EFE63DC3-3CEE-41C4-9024-34016DF50E1B}"/>
    <cellStyle name="Normal 9 3 2 2 7 2 3" xfId="24731" xr:uid="{23F53199-CDA0-47E6-BC00-0156D8D95989}"/>
    <cellStyle name="Normal 9 3 2 2 7 3" xfId="12067" xr:uid="{61051F73-00E9-45C6-9F76-DE9BAEF54FA8}"/>
    <cellStyle name="Normal 9 3 2 2 7 4" xfId="20514" xr:uid="{6182E4FE-FD4E-4651-A243-AD5A526DBB12}"/>
    <cellStyle name="Normal 9 3 2 2 8" xfId="4893" xr:uid="{00000000-0005-0000-0000-0000D21F0000}"/>
    <cellStyle name="Normal 9 3 2 2 8 2" xfId="14219" xr:uid="{E7063700-7FC6-4815-8030-E3C694821190}"/>
    <cellStyle name="Normal 9 3 2 2 8 3" xfId="22666" xr:uid="{66706140-8BA1-4BCD-94B6-B760B00EE40C}"/>
    <cellStyle name="Normal 9 3 2 2 9" xfId="8943" xr:uid="{1E59706A-169E-45B8-A6E4-1A0514B9DDBD}"/>
    <cellStyle name="Normal 9 3 2 3" xfId="531" xr:uid="{00000000-0005-0000-0000-0000D31F0000}"/>
    <cellStyle name="Normal 9 3 2 3 10" xfId="18451" xr:uid="{B9F563D9-D00F-433E-973D-74C3B9117169}"/>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56F18AC1-1383-437D-8CC4-1989D9184743}"/>
    <cellStyle name="Normal 9 3 2 3 2 2 2 3" xfId="25226" xr:uid="{9663D4EA-3DA7-4722-82A4-797A7DD9D22E}"/>
    <cellStyle name="Normal 9 3 2 3 2 2 3" xfId="12562" xr:uid="{9722DBE7-CF2B-467D-BE4C-E53D02436E05}"/>
    <cellStyle name="Normal 9 3 2 3 2 2 4" xfId="21009" xr:uid="{68BF6293-84E1-4995-A282-D771ED9DD9AD}"/>
    <cellStyle name="Normal 9 3 2 3 2 3" xfId="5308" xr:uid="{00000000-0005-0000-0000-0000D71F0000}"/>
    <cellStyle name="Normal 9 3 2 3 2 3 2" xfId="14634" xr:uid="{32F6C456-3716-4586-9923-B69B9656ED71}"/>
    <cellStyle name="Normal 9 3 2 3 2 3 3" xfId="23081" xr:uid="{188D5D80-86AF-426E-9AB8-815F612DCD70}"/>
    <cellStyle name="Normal 9 3 2 3 2 4" xfId="9472" xr:uid="{427A8E71-9BC4-47C0-A855-6886AF96C97E}"/>
    <cellStyle name="Normal 9 3 2 3 2 5" xfId="10417" xr:uid="{9AD5287C-A7A1-40CE-93AF-06AE38884063}"/>
    <cellStyle name="Normal 9 3 2 3 2 6" xfId="18864" xr:uid="{E2BCC958-D0AE-4D18-97E6-6AC015BCC5FF}"/>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D0170693-015A-4B06-ADD8-D9EDB4FFE44F}"/>
    <cellStyle name="Normal 9 3 2 3 3 2 2 3" xfId="25639" xr:uid="{22D2F246-A462-42D2-9E84-EC988431CD2B}"/>
    <cellStyle name="Normal 9 3 2 3 3 2 3" xfId="12975" xr:uid="{5ADE00D4-99C0-4170-BF66-42B812F50927}"/>
    <cellStyle name="Normal 9 3 2 3 3 2 4" xfId="21422" xr:uid="{961A0517-4782-48E6-93AB-A0470A8869A6}"/>
    <cellStyle name="Normal 9 3 2 3 3 3" xfId="5721" xr:uid="{00000000-0005-0000-0000-0000DB1F0000}"/>
    <cellStyle name="Normal 9 3 2 3 3 3 2" xfId="15047" xr:uid="{15D47185-3952-4A7F-87CA-C379492D0BB9}"/>
    <cellStyle name="Normal 9 3 2 3 3 3 3" xfId="23494" xr:uid="{D32562DB-C871-414D-B581-05F4FEE26763}"/>
    <cellStyle name="Normal 9 3 2 3 3 4" xfId="10830" xr:uid="{31847562-40A3-4D3E-91A8-B66DBE4F0EE8}"/>
    <cellStyle name="Normal 9 3 2 3 3 5" xfId="19277" xr:uid="{89DEB8EE-B2E6-473D-99A5-6B47C1E87D72}"/>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E1C25F8D-1E8D-4B02-B7F6-1AF672E92B58}"/>
    <cellStyle name="Normal 9 3 2 3 4 2 2 3" xfId="26052" xr:uid="{6AF12B8A-8A97-4AD1-9980-8F01D37FF995}"/>
    <cellStyle name="Normal 9 3 2 3 4 2 3" xfId="13388" xr:uid="{64A3CFBF-D6D2-45C4-9B7E-7394BD9EE1B3}"/>
    <cellStyle name="Normal 9 3 2 3 4 2 4" xfId="21835" xr:uid="{E5E3E0E7-D8BC-4500-B85D-294001E25709}"/>
    <cellStyle name="Normal 9 3 2 3 4 3" xfId="6134" xr:uid="{00000000-0005-0000-0000-0000DF1F0000}"/>
    <cellStyle name="Normal 9 3 2 3 4 3 2" xfId="15460" xr:uid="{95FA56F8-E839-49B5-B024-E6BAA25E6F29}"/>
    <cellStyle name="Normal 9 3 2 3 4 3 3" xfId="23907" xr:uid="{0B7EE3D3-07BD-4A52-88E3-E514F1B44929}"/>
    <cellStyle name="Normal 9 3 2 3 4 4" xfId="11243" xr:uid="{03A90124-D332-4788-BBEC-8439CA5957E4}"/>
    <cellStyle name="Normal 9 3 2 3 4 5" xfId="19690" xr:uid="{401F691E-085E-48EE-B1C0-814D9110C94C}"/>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34ACC3DF-E7EE-40EE-BF90-429D6B5F0855}"/>
    <cellStyle name="Normal 9 3 2 3 5 2 2 3" xfId="26465" xr:uid="{6F9BF5CE-9255-4918-A33F-F2FA6D578DE8}"/>
    <cellStyle name="Normal 9 3 2 3 5 2 3" xfId="13801" xr:uid="{F049CDC2-DB7E-425F-9396-2702C5DCB1EE}"/>
    <cellStyle name="Normal 9 3 2 3 5 2 4" xfId="22248" xr:uid="{860AC829-A774-4FB9-810A-85FD99EFF8B7}"/>
    <cellStyle name="Normal 9 3 2 3 5 3" xfId="6547" xr:uid="{00000000-0005-0000-0000-0000E31F0000}"/>
    <cellStyle name="Normal 9 3 2 3 5 3 2" xfId="15873" xr:uid="{734CB9C4-31FF-404E-BA02-E005619FA87A}"/>
    <cellStyle name="Normal 9 3 2 3 5 3 3" xfId="24320" xr:uid="{89B01654-0854-4F24-9453-E45651B245B6}"/>
    <cellStyle name="Normal 9 3 2 3 5 4" xfId="11656" xr:uid="{8D1FCF70-6A6F-49D1-9710-EBA8B7533F3A}"/>
    <cellStyle name="Normal 9 3 2 3 5 5" xfId="20103" xr:uid="{5BCCEF22-6829-4CAA-8751-466813528305}"/>
    <cellStyle name="Normal 9 3 2 3 6" xfId="2677" xr:uid="{00000000-0005-0000-0000-0000E41F0000}"/>
    <cellStyle name="Normal 9 3 2 3 6 2" xfId="6960" xr:uid="{00000000-0005-0000-0000-0000E51F0000}"/>
    <cellStyle name="Normal 9 3 2 3 6 2 2" xfId="16286" xr:uid="{B663A18B-AF71-4414-AC08-C021753E40E9}"/>
    <cellStyle name="Normal 9 3 2 3 6 2 3" xfId="24733" xr:uid="{C03A19EB-6020-4DFC-A056-F9C391DCC35E}"/>
    <cellStyle name="Normal 9 3 2 3 6 3" xfId="12069" xr:uid="{08E1FEF3-9740-4EBF-837C-3AF58B09479C}"/>
    <cellStyle name="Normal 9 3 2 3 6 4" xfId="20516" xr:uid="{96B45F97-70BE-4BA7-84F4-418EB4E9870D}"/>
    <cellStyle name="Normal 9 3 2 3 7" xfId="4895" xr:uid="{00000000-0005-0000-0000-0000E61F0000}"/>
    <cellStyle name="Normal 9 3 2 3 7 2" xfId="14221" xr:uid="{8DA1387B-4F87-4CCA-B903-BF39A5E6F182}"/>
    <cellStyle name="Normal 9 3 2 3 7 3" xfId="22668" xr:uid="{B4C3E325-898B-463A-A33B-244218935B34}"/>
    <cellStyle name="Normal 9 3 2 3 8" xfId="9047" xr:uid="{4CBBBE80-D24B-484D-910E-0072EA0E95DD}"/>
    <cellStyle name="Normal 9 3 2 3 9" xfId="10004" xr:uid="{90285AAE-E6F7-4383-9454-BC0FFBF60FEB}"/>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BDF0C523-B9C3-4684-8AB8-AC47A3E2428E}"/>
    <cellStyle name="Normal 9 3 2 4 2 2 3" xfId="25223" xr:uid="{0DF7673D-24E1-41E2-ADAC-E37B15CE1548}"/>
    <cellStyle name="Normal 9 3 2 4 2 3" xfId="12559" xr:uid="{FC0743B4-12F8-4348-A320-92A23A4C4B8D}"/>
    <cellStyle name="Normal 9 3 2 4 2 4" xfId="21006" xr:uid="{988140B0-DD7E-4F65-8008-19578EF17FD1}"/>
    <cellStyle name="Normal 9 3 2 4 3" xfId="5305" xr:uid="{00000000-0005-0000-0000-0000EA1F0000}"/>
    <cellStyle name="Normal 9 3 2 4 3 2" xfId="14631" xr:uid="{B3042244-3263-44DD-A5AC-012F7D154286}"/>
    <cellStyle name="Normal 9 3 2 4 3 3" xfId="23078" xr:uid="{24FC8646-6D46-487A-921A-361DDF41DC66}"/>
    <cellStyle name="Normal 9 3 2 4 4" xfId="9265" xr:uid="{BF00A9B8-67BA-48F6-8D48-0E4380D60577}"/>
    <cellStyle name="Normal 9 3 2 4 5" xfId="10414" xr:uid="{646E555F-5DF9-49A1-8FED-1DB10D38056F}"/>
    <cellStyle name="Normal 9 3 2 4 6" xfId="18861" xr:uid="{B5950ED6-55EA-4F09-B5D5-72819FEE72F1}"/>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9256234E-B610-4A4D-9018-EF315E7A443D}"/>
    <cellStyle name="Normal 9 3 2 5 2 2 3" xfId="25636" xr:uid="{2C21478C-5E4D-4EF3-88E4-1747245705E1}"/>
    <cellStyle name="Normal 9 3 2 5 2 3" xfId="12972" xr:uid="{44C12AEF-BBEA-4954-89F1-900942AB4628}"/>
    <cellStyle name="Normal 9 3 2 5 2 4" xfId="21419" xr:uid="{4DF9558B-2CBD-4724-A02E-FA87661D1260}"/>
    <cellStyle name="Normal 9 3 2 5 3" xfId="5718" xr:uid="{00000000-0005-0000-0000-0000EE1F0000}"/>
    <cellStyle name="Normal 9 3 2 5 3 2" xfId="15044" xr:uid="{1590D08A-FC55-4B5E-9733-4C443B4BC291}"/>
    <cellStyle name="Normal 9 3 2 5 3 3" xfId="23491" xr:uid="{4E374ECF-4CE9-460B-A7D6-F402BA04D21A}"/>
    <cellStyle name="Normal 9 3 2 5 4" xfId="10827" xr:uid="{FA6EEA74-0710-42C3-858E-5C81CB09EB52}"/>
    <cellStyle name="Normal 9 3 2 5 5" xfId="19274" xr:uid="{00F434B9-B890-4D09-B4FF-97DE4726C5F1}"/>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8A1BD7E1-34C0-423F-9981-87C52E07FD30}"/>
    <cellStyle name="Normal 9 3 2 6 2 2 3" xfId="26049" xr:uid="{1B0CE285-750C-49BE-A846-9F94482B15C0}"/>
    <cellStyle name="Normal 9 3 2 6 2 3" xfId="13385" xr:uid="{C974400A-B2F5-4272-AA62-5F99B08BB927}"/>
    <cellStyle name="Normal 9 3 2 6 2 4" xfId="21832" xr:uid="{2D80801A-BB4A-4631-A2E2-66D839057B16}"/>
    <cellStyle name="Normal 9 3 2 6 3" xfId="6131" xr:uid="{00000000-0005-0000-0000-0000F21F0000}"/>
    <cellStyle name="Normal 9 3 2 6 3 2" xfId="15457" xr:uid="{293231C7-09E0-440F-A404-AC6B864571B6}"/>
    <cellStyle name="Normal 9 3 2 6 3 3" xfId="23904" xr:uid="{FF9EB11B-A1ED-4360-8525-2E4C3D2D5881}"/>
    <cellStyle name="Normal 9 3 2 6 4" xfId="11240" xr:uid="{E4503929-B374-49BC-BB5E-E2CAFC32E33E}"/>
    <cellStyle name="Normal 9 3 2 6 5" xfId="19687" xr:uid="{8E71477E-49B6-46D2-9F94-5B426C9D2C69}"/>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CE847C18-AD7F-4B49-ADFE-BB0CDBF1607D}"/>
    <cellStyle name="Normal 9 3 2 7 2 2 3" xfId="26462" xr:uid="{35A1C0C6-C7AA-49C2-909D-8632627B136C}"/>
    <cellStyle name="Normal 9 3 2 7 2 3" xfId="13798" xr:uid="{3A5982BD-F8E7-4526-B878-047A617496C0}"/>
    <cellStyle name="Normal 9 3 2 7 2 4" xfId="22245" xr:uid="{29F00D6D-E488-489F-B270-ED0EAD8CEA0C}"/>
    <cellStyle name="Normal 9 3 2 7 3" xfId="6544" xr:uid="{00000000-0005-0000-0000-0000F61F0000}"/>
    <cellStyle name="Normal 9 3 2 7 3 2" xfId="15870" xr:uid="{C85CDE7A-9E0E-4148-A13D-478C9D50EE87}"/>
    <cellStyle name="Normal 9 3 2 7 3 3" xfId="24317" xr:uid="{AF0D1787-1358-48DB-9D8D-1E4334CF58B8}"/>
    <cellStyle name="Normal 9 3 2 7 4" xfId="11653" xr:uid="{9A4DF6EB-7A73-4429-BE25-4A9CBDD5E96D}"/>
    <cellStyle name="Normal 9 3 2 7 5" xfId="20100" xr:uid="{ABE91133-7376-43D6-A75D-6F15DD053669}"/>
    <cellStyle name="Normal 9 3 2 8" xfId="2674" xr:uid="{00000000-0005-0000-0000-0000F71F0000}"/>
    <cellStyle name="Normal 9 3 2 8 2" xfId="6957" xr:uid="{00000000-0005-0000-0000-0000F81F0000}"/>
    <cellStyle name="Normal 9 3 2 8 2 2" xfId="16283" xr:uid="{84D3878B-394E-4AFF-B664-E34DAA8E0C0A}"/>
    <cellStyle name="Normal 9 3 2 8 2 3" xfId="24730" xr:uid="{98156011-D264-43AB-99CB-F528634031FD}"/>
    <cellStyle name="Normal 9 3 2 8 3" xfId="12066" xr:uid="{F937C6BC-51FE-42C6-93AC-01BD440FAD3E}"/>
    <cellStyle name="Normal 9 3 2 8 4" xfId="20513" xr:uid="{FEFB85EF-F174-4ADA-8926-BCD740AE4FED}"/>
    <cellStyle name="Normal 9 3 2 9" xfId="4892" xr:uid="{00000000-0005-0000-0000-0000F91F0000}"/>
    <cellStyle name="Normal 9 3 2 9 2" xfId="14218" xr:uid="{A8EA95E8-1A35-49EA-863D-2256F987EF3C}"/>
    <cellStyle name="Normal 9 3 2 9 3" xfId="22665" xr:uid="{EB4F5746-C901-4B9D-A702-FF42A5134CF2}"/>
    <cellStyle name="Normal 9 3 3" xfId="532" xr:uid="{00000000-0005-0000-0000-0000FA1F0000}"/>
    <cellStyle name="Normal 9 3 3 10" xfId="10005" xr:uid="{6A121E84-B32A-456E-8619-2509C98C39B4}"/>
    <cellStyle name="Normal 9 3 3 11" xfId="18452" xr:uid="{FFC48ADC-29F0-4352-A02D-75EFB24A4D2E}"/>
    <cellStyle name="Normal 9 3 3 2" xfId="533" xr:uid="{00000000-0005-0000-0000-0000FB1F0000}"/>
    <cellStyle name="Normal 9 3 3 2 10" xfId="18453" xr:uid="{6ACC4208-485C-4221-B2A8-5B1BBDDF92CB}"/>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93560EF6-C70F-4BA7-8767-76B06274B8E7}"/>
    <cellStyle name="Normal 9 3 3 2 2 2 2 3" xfId="25228" xr:uid="{B9E05839-0368-45E1-8DAE-D349AABB5101}"/>
    <cellStyle name="Normal 9 3 3 2 2 2 3" xfId="12564" xr:uid="{A76CC08A-1D66-466B-B891-D044F732B2F0}"/>
    <cellStyle name="Normal 9 3 3 2 2 2 4" xfId="21011" xr:uid="{AAF771E7-F91F-48D2-A7EF-C3AD26A53AFC}"/>
    <cellStyle name="Normal 9 3 3 2 2 3" xfId="5310" xr:uid="{00000000-0005-0000-0000-0000FF1F0000}"/>
    <cellStyle name="Normal 9 3 3 2 2 3 2" xfId="14636" xr:uid="{0CFEB1EF-1435-4CB9-BCBD-FE34951033BA}"/>
    <cellStyle name="Normal 9 3 3 2 2 3 3" xfId="23083" xr:uid="{1A3BFC9C-A3B1-4069-93B5-B30C7BCD809D}"/>
    <cellStyle name="Normal 9 3 3 2 2 4" xfId="9512" xr:uid="{2D87B26D-94B2-43FF-B3AD-59DF0A117D21}"/>
    <cellStyle name="Normal 9 3 3 2 2 5" xfId="10419" xr:uid="{01B13834-860B-4C02-B439-0BD9E3DB974B}"/>
    <cellStyle name="Normal 9 3 3 2 2 6" xfId="18866" xr:uid="{F5955949-D231-44F8-BFF8-8EF4A1738462}"/>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7C0AD28D-328C-4857-91AA-88DC2A875047}"/>
    <cellStyle name="Normal 9 3 3 2 3 2 2 3" xfId="25641" xr:uid="{2F5F31C2-A168-4CF9-9F44-C332EBE7E7D0}"/>
    <cellStyle name="Normal 9 3 3 2 3 2 3" xfId="12977" xr:uid="{72E2E775-91EB-4035-8F4E-0DC1A064DCEF}"/>
    <cellStyle name="Normal 9 3 3 2 3 2 4" xfId="21424" xr:uid="{57B06F86-85F4-4831-9515-71C7B65EF465}"/>
    <cellStyle name="Normal 9 3 3 2 3 3" xfId="5723" xr:uid="{00000000-0005-0000-0000-000003200000}"/>
    <cellStyle name="Normal 9 3 3 2 3 3 2" xfId="15049" xr:uid="{C0D734BC-130C-4FD8-9A99-001C707E4BB6}"/>
    <cellStyle name="Normal 9 3 3 2 3 3 3" xfId="23496" xr:uid="{07E0C3BA-AFC5-4305-B9A7-5ACE20988B35}"/>
    <cellStyle name="Normal 9 3 3 2 3 4" xfId="10832" xr:uid="{C11FA9E8-A4D2-4992-A71C-44D66262C364}"/>
    <cellStyle name="Normal 9 3 3 2 3 5" xfId="19279" xr:uid="{FBC1DC28-6E6E-46CD-AE2E-86D9AAD9BC8C}"/>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87E33E6E-673F-492F-AE91-8E854D75225D}"/>
    <cellStyle name="Normal 9 3 3 2 4 2 2 3" xfId="26054" xr:uid="{6BDEBA0B-807F-46A3-8BC2-63398509A30A}"/>
    <cellStyle name="Normal 9 3 3 2 4 2 3" xfId="13390" xr:uid="{2ADAB141-4D2F-46C8-9A70-39AD26FFF964}"/>
    <cellStyle name="Normal 9 3 3 2 4 2 4" xfId="21837" xr:uid="{C4815DB6-BB38-4F1A-B0F1-E620F05E352D}"/>
    <cellStyle name="Normal 9 3 3 2 4 3" xfId="6136" xr:uid="{00000000-0005-0000-0000-000007200000}"/>
    <cellStyle name="Normal 9 3 3 2 4 3 2" xfId="15462" xr:uid="{BF9CC609-FD28-4A90-84D9-B14C718DF80E}"/>
    <cellStyle name="Normal 9 3 3 2 4 3 3" xfId="23909" xr:uid="{608FAD6E-74D6-452E-AEE5-89F888CC00CC}"/>
    <cellStyle name="Normal 9 3 3 2 4 4" xfId="11245" xr:uid="{8F769FF3-B4E1-4072-AA54-7B2386B952E7}"/>
    <cellStyle name="Normal 9 3 3 2 4 5" xfId="19692" xr:uid="{315DB412-14C4-499D-B45B-398CB05ABD2C}"/>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EFDBA962-0981-4F27-86DE-88A77751DE42}"/>
    <cellStyle name="Normal 9 3 3 2 5 2 2 3" xfId="26467" xr:uid="{478CCC13-8A98-4202-A2FC-C5EF3697A5B0}"/>
    <cellStyle name="Normal 9 3 3 2 5 2 3" xfId="13803" xr:uid="{F19808CD-D38A-4FB1-B893-BF38B0715789}"/>
    <cellStyle name="Normal 9 3 3 2 5 2 4" xfId="22250" xr:uid="{14CEF214-3D6D-453C-93A9-988E36C5F0F5}"/>
    <cellStyle name="Normal 9 3 3 2 5 3" xfId="6549" xr:uid="{00000000-0005-0000-0000-00000B200000}"/>
    <cellStyle name="Normal 9 3 3 2 5 3 2" xfId="15875" xr:uid="{A31B109D-6CCE-4EBF-829D-52A40AB5E43A}"/>
    <cellStyle name="Normal 9 3 3 2 5 3 3" xfId="24322" xr:uid="{3B655B9C-E761-4FC5-9C81-01C765B3F008}"/>
    <cellStyle name="Normal 9 3 3 2 5 4" xfId="11658" xr:uid="{16768A2D-BA80-428C-AF82-9D5F78FDD338}"/>
    <cellStyle name="Normal 9 3 3 2 5 5" xfId="20105" xr:uid="{DA07B56F-9D7B-4F39-9549-AB15C063EF5F}"/>
    <cellStyle name="Normal 9 3 3 2 6" xfId="2679" xr:uid="{00000000-0005-0000-0000-00000C200000}"/>
    <cellStyle name="Normal 9 3 3 2 6 2" xfId="6962" xr:uid="{00000000-0005-0000-0000-00000D200000}"/>
    <cellStyle name="Normal 9 3 3 2 6 2 2" xfId="16288" xr:uid="{3A871736-8489-4359-BC3C-26B299AB338C}"/>
    <cellStyle name="Normal 9 3 3 2 6 2 3" xfId="24735" xr:uid="{1D0C8C8A-E6E4-4276-A1BB-284DA1E2CFEA}"/>
    <cellStyle name="Normal 9 3 3 2 6 3" xfId="12071" xr:uid="{4F666E8F-5078-4DF8-955C-2D57B5CBF0D8}"/>
    <cellStyle name="Normal 9 3 3 2 6 4" xfId="20518" xr:uid="{9E6345DF-C60E-46BB-8C0D-825FCE3FD797}"/>
    <cellStyle name="Normal 9 3 3 2 7" xfId="4897" xr:uid="{00000000-0005-0000-0000-00000E200000}"/>
    <cellStyle name="Normal 9 3 3 2 7 2" xfId="14223" xr:uid="{10EDB739-762E-4E6A-8584-F4DC99C7D322}"/>
    <cellStyle name="Normal 9 3 3 2 7 3" xfId="22670" xr:uid="{52BD4222-4E90-4E01-9A6C-33CB51F7F269}"/>
    <cellStyle name="Normal 9 3 3 2 8" xfId="9087" xr:uid="{B1C8DB1F-59B6-4D6A-B3E7-0CFC4D29D9A9}"/>
    <cellStyle name="Normal 9 3 3 2 9" xfId="10006" xr:uid="{3AD7C3ED-4F6A-4851-A9A1-B3C4EE6392ED}"/>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A372191E-CD7F-46EA-9875-58CD5F90ADE3}"/>
    <cellStyle name="Normal 9 3 3 3 2 2 3" xfId="25227" xr:uid="{0C49B371-57DB-44CB-AE2E-94899BB8C1A8}"/>
    <cellStyle name="Normal 9 3 3 3 2 3" xfId="12563" xr:uid="{825EE244-7A59-47FE-AFAF-5E687A86ABE8}"/>
    <cellStyle name="Normal 9 3 3 3 2 4" xfId="21010" xr:uid="{21CE4A73-DA4D-4A3E-B1B6-4C827592E172}"/>
    <cellStyle name="Normal 9 3 3 3 3" xfId="5309" xr:uid="{00000000-0005-0000-0000-000012200000}"/>
    <cellStyle name="Normal 9 3 3 3 3 2" xfId="14635" xr:uid="{CDAB7606-BCDB-4301-9E6C-4C041A9939F2}"/>
    <cellStyle name="Normal 9 3 3 3 3 3" xfId="23082" xr:uid="{FF4BE549-22D0-4737-B508-9C1ECB431C92}"/>
    <cellStyle name="Normal 9 3 3 3 4" xfId="9305" xr:uid="{F54F3A88-B268-4905-B4D1-34B996B920C6}"/>
    <cellStyle name="Normal 9 3 3 3 5" xfId="10418" xr:uid="{FE43207C-04F8-4325-8809-F1632DE9B210}"/>
    <cellStyle name="Normal 9 3 3 3 6" xfId="18865" xr:uid="{67D090B8-0186-41D9-9847-F7AD359B949B}"/>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551E275B-8AC1-43BA-8984-886E604C204F}"/>
    <cellStyle name="Normal 9 3 3 4 2 2 3" xfId="25640" xr:uid="{3487A730-483A-4301-94E8-7ECB85616B0C}"/>
    <cellStyle name="Normal 9 3 3 4 2 3" xfId="12976" xr:uid="{D18B0378-03F3-4CEC-8C0A-3EDF21DCDE04}"/>
    <cellStyle name="Normal 9 3 3 4 2 4" xfId="21423" xr:uid="{C9A807FF-F185-4617-9AC7-A55843AFF936}"/>
    <cellStyle name="Normal 9 3 3 4 3" xfId="5722" xr:uid="{00000000-0005-0000-0000-000016200000}"/>
    <cellStyle name="Normal 9 3 3 4 3 2" xfId="15048" xr:uid="{85606CE3-81CD-463D-A76B-8C30E03CEEF3}"/>
    <cellStyle name="Normal 9 3 3 4 3 3" xfId="23495" xr:uid="{922AA765-4254-4B85-8298-00DFB3BC7371}"/>
    <cellStyle name="Normal 9 3 3 4 4" xfId="10831" xr:uid="{CF8EE665-2663-492A-AEB9-F35884FEDD3C}"/>
    <cellStyle name="Normal 9 3 3 4 5" xfId="19278" xr:uid="{CC4D4EBA-E04A-4041-964E-65883030E969}"/>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CDDF8F2B-CF0D-4845-966B-4F8F9B9A2D19}"/>
    <cellStyle name="Normal 9 3 3 5 2 2 3" xfId="26053" xr:uid="{1CB7B8BB-F718-400B-B0A1-E9C5CDF551CC}"/>
    <cellStyle name="Normal 9 3 3 5 2 3" xfId="13389" xr:uid="{FD5A2167-F52A-4B84-8C7C-34BB8E676515}"/>
    <cellStyle name="Normal 9 3 3 5 2 4" xfId="21836" xr:uid="{C14280A7-D2C8-4941-AD97-A23E8154CB33}"/>
    <cellStyle name="Normal 9 3 3 5 3" xfId="6135" xr:uid="{00000000-0005-0000-0000-00001A200000}"/>
    <cellStyle name="Normal 9 3 3 5 3 2" xfId="15461" xr:uid="{26639937-04D1-4EAD-9175-DBE7825E7ACF}"/>
    <cellStyle name="Normal 9 3 3 5 3 3" xfId="23908" xr:uid="{F6FFBB69-BF9A-44FE-9F2E-F992FE06FDF3}"/>
    <cellStyle name="Normal 9 3 3 5 4" xfId="11244" xr:uid="{08E9AC97-A784-4086-B7EE-8394E42DBCE1}"/>
    <cellStyle name="Normal 9 3 3 5 5" xfId="19691" xr:uid="{D733816A-83F1-4E80-85EF-6581F418383E}"/>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745A2CC8-EB25-478E-9194-45F967776E0F}"/>
    <cellStyle name="Normal 9 3 3 6 2 2 3" xfId="26466" xr:uid="{47AD9CF3-CB5B-42B3-9611-8A75CBB2D51D}"/>
    <cellStyle name="Normal 9 3 3 6 2 3" xfId="13802" xr:uid="{6AEF4EB6-D16C-4DBF-B607-CCCAADEDD959}"/>
    <cellStyle name="Normal 9 3 3 6 2 4" xfId="22249" xr:uid="{2A816462-F9FE-49A3-8332-4B1457DCE06C}"/>
    <cellStyle name="Normal 9 3 3 6 3" xfId="6548" xr:uid="{00000000-0005-0000-0000-00001E200000}"/>
    <cellStyle name="Normal 9 3 3 6 3 2" xfId="15874" xr:uid="{151FE135-1B58-48BE-80E9-2306DE739B47}"/>
    <cellStyle name="Normal 9 3 3 6 3 3" xfId="24321" xr:uid="{5BA006EA-F36A-4A2F-B23E-B0655D293733}"/>
    <cellStyle name="Normal 9 3 3 6 4" xfId="11657" xr:uid="{B2FB8B9B-D5B5-421A-AFD8-4485B8497C00}"/>
    <cellStyle name="Normal 9 3 3 6 5" xfId="20104" xr:uid="{3D46854D-7EF8-4873-A932-B3D15D07E94B}"/>
    <cellStyle name="Normal 9 3 3 7" xfId="2678" xr:uid="{00000000-0005-0000-0000-00001F200000}"/>
    <cellStyle name="Normal 9 3 3 7 2" xfId="6961" xr:uid="{00000000-0005-0000-0000-000020200000}"/>
    <cellStyle name="Normal 9 3 3 7 2 2" xfId="16287" xr:uid="{16C023CB-663E-4CF2-8858-0EBE2B019F02}"/>
    <cellStyle name="Normal 9 3 3 7 2 3" xfId="24734" xr:uid="{FC9D099E-4A3F-46C8-94D1-B12245140389}"/>
    <cellStyle name="Normal 9 3 3 7 3" xfId="12070" xr:uid="{3FE87C34-1BE2-4C66-8EC3-4D462E9888C6}"/>
    <cellStyle name="Normal 9 3 3 7 4" xfId="20517" xr:uid="{E1F5E05F-51D6-4758-B62D-42B47ABD0EAE}"/>
    <cellStyle name="Normal 9 3 3 8" xfId="4896" xr:uid="{00000000-0005-0000-0000-000021200000}"/>
    <cellStyle name="Normal 9 3 3 8 2" xfId="14222" xr:uid="{74461E64-37B3-414E-BB98-F182D13A4871}"/>
    <cellStyle name="Normal 9 3 3 8 3" xfId="22669" xr:uid="{9FF6262E-56BD-4AE2-8351-5DF91FBF9872}"/>
    <cellStyle name="Normal 9 3 3 9" xfId="8880" xr:uid="{36521590-FD5B-45F7-80A9-41BA557EA820}"/>
    <cellStyle name="Normal 9 3 4" xfId="534" xr:uid="{00000000-0005-0000-0000-000022200000}"/>
    <cellStyle name="Normal 9 3 4 10" xfId="18454" xr:uid="{1483C235-44B4-42AE-AEDB-F8D046FE68B2}"/>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69919374-570F-40CA-A4A0-573116AFA563}"/>
    <cellStyle name="Normal 9 3 4 2 2 2 3" xfId="25229" xr:uid="{CDA13FC0-EC32-4EAE-87C4-E3D1F7F0B6CC}"/>
    <cellStyle name="Normal 9 3 4 2 2 3" xfId="12565" xr:uid="{BF739417-C1AE-4156-9D73-C5A70C08AF0C}"/>
    <cellStyle name="Normal 9 3 4 2 2 4" xfId="21012" xr:uid="{1C0D9C18-3B3B-46A4-9A97-F9F1B7877A94}"/>
    <cellStyle name="Normal 9 3 4 2 3" xfId="5311" xr:uid="{00000000-0005-0000-0000-000026200000}"/>
    <cellStyle name="Normal 9 3 4 2 3 2" xfId="14637" xr:uid="{EC78C792-706E-45E9-BE31-FD41DD2D3F10}"/>
    <cellStyle name="Normal 9 3 4 2 3 3" xfId="23084" xr:uid="{2FC0E927-E535-4122-BDF6-31E67FF30FC2}"/>
    <cellStyle name="Normal 9 3 4 2 4" xfId="9409" xr:uid="{F8EFC02C-357C-44AD-9BF7-6459F3C595DA}"/>
    <cellStyle name="Normal 9 3 4 2 5" xfId="10420" xr:uid="{1EAC5FE6-1060-4066-922B-B2C7A9BA6FFE}"/>
    <cellStyle name="Normal 9 3 4 2 6" xfId="18867" xr:uid="{DF95458C-CFB6-4D6D-AB0C-E7A0117903FA}"/>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BFB80048-A3DB-428E-9CEC-C8C9F2718394}"/>
    <cellStyle name="Normal 9 3 4 3 2 2 3" xfId="25642" xr:uid="{FBE8D847-EBC6-4663-AACD-6C81B391A90B}"/>
    <cellStyle name="Normal 9 3 4 3 2 3" xfId="12978" xr:uid="{7E2C53B9-178B-4691-864F-806C6932310B}"/>
    <cellStyle name="Normal 9 3 4 3 2 4" xfId="21425" xr:uid="{3F3B3C1D-59B7-4595-B6A4-4C1BD6A5B476}"/>
    <cellStyle name="Normal 9 3 4 3 3" xfId="5724" xr:uid="{00000000-0005-0000-0000-00002A200000}"/>
    <cellStyle name="Normal 9 3 4 3 3 2" xfId="15050" xr:uid="{ED6CE3B7-6007-4C4B-B551-674F19BA10CA}"/>
    <cellStyle name="Normal 9 3 4 3 3 3" xfId="23497" xr:uid="{0627D065-8C81-4D8A-BA9D-DAFCB1EE01A7}"/>
    <cellStyle name="Normal 9 3 4 3 4" xfId="10833" xr:uid="{BE00AC1E-18A0-4DC7-8835-9FC9CFC80088}"/>
    <cellStyle name="Normal 9 3 4 3 5" xfId="19280" xr:uid="{7849B4F2-8BF9-43E3-851E-C3077189600A}"/>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725713BB-DFA5-445E-A357-DD3453333BD0}"/>
    <cellStyle name="Normal 9 3 4 4 2 2 3" xfId="26055" xr:uid="{88950EDF-AA10-4B0D-BCD3-CFDB7792B650}"/>
    <cellStyle name="Normal 9 3 4 4 2 3" xfId="13391" xr:uid="{7504148B-9349-45E4-97E9-ACB0A73E8204}"/>
    <cellStyle name="Normal 9 3 4 4 2 4" xfId="21838" xr:uid="{BF2B179A-D7F3-4565-B846-CFC0515E8824}"/>
    <cellStyle name="Normal 9 3 4 4 3" xfId="6137" xr:uid="{00000000-0005-0000-0000-00002E200000}"/>
    <cellStyle name="Normal 9 3 4 4 3 2" xfId="15463" xr:uid="{6A8542B4-A491-466C-9DFE-F8611DEA5D93}"/>
    <cellStyle name="Normal 9 3 4 4 3 3" xfId="23910" xr:uid="{75A5F323-5CDD-40F5-9733-057AED097CFC}"/>
    <cellStyle name="Normal 9 3 4 4 4" xfId="11246" xr:uid="{C373D33B-9E3D-45E0-90FB-90DCF23F1D6D}"/>
    <cellStyle name="Normal 9 3 4 4 5" xfId="19693" xr:uid="{A67138D6-A7A6-4961-B6FF-EB4164B1514A}"/>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6C662B0B-ABBC-4761-A91A-A075B3524C26}"/>
    <cellStyle name="Normal 9 3 4 5 2 2 3" xfId="26468" xr:uid="{ED9EF9CB-8111-4BE2-BD43-EDB91E34C315}"/>
    <cellStyle name="Normal 9 3 4 5 2 3" xfId="13804" xr:uid="{326A5DD4-99C1-4B7B-A3E2-80A4094DE8AE}"/>
    <cellStyle name="Normal 9 3 4 5 2 4" xfId="22251" xr:uid="{1895D4C9-7C6E-4B1D-88F0-DE1B2FE5B584}"/>
    <cellStyle name="Normal 9 3 4 5 3" xfId="6550" xr:uid="{00000000-0005-0000-0000-000032200000}"/>
    <cellStyle name="Normal 9 3 4 5 3 2" xfId="15876" xr:uid="{F4A6BDD7-40E7-4990-A1CC-D2E08348BC42}"/>
    <cellStyle name="Normal 9 3 4 5 3 3" xfId="24323" xr:uid="{565815B0-1C0C-4738-9721-63CA75BA7544}"/>
    <cellStyle name="Normal 9 3 4 5 4" xfId="11659" xr:uid="{45EE4988-55DD-4D94-8B80-F2A09AE75006}"/>
    <cellStyle name="Normal 9 3 4 5 5" xfId="20106" xr:uid="{846F0B80-F091-4A2B-97A0-5185EECEC5D0}"/>
    <cellStyle name="Normal 9 3 4 6" xfId="2680" xr:uid="{00000000-0005-0000-0000-000033200000}"/>
    <cellStyle name="Normal 9 3 4 6 2" xfId="6963" xr:uid="{00000000-0005-0000-0000-000034200000}"/>
    <cellStyle name="Normal 9 3 4 6 2 2" xfId="16289" xr:uid="{9814642B-9005-4CA0-9CE4-1003133AF7B0}"/>
    <cellStyle name="Normal 9 3 4 6 2 3" xfId="24736" xr:uid="{53BC7C73-2C1E-4C4B-992C-815F4C9B24AA}"/>
    <cellStyle name="Normal 9 3 4 6 3" xfId="12072" xr:uid="{5681D97F-F3C9-4AEA-8E35-AEBD826B5468}"/>
    <cellStyle name="Normal 9 3 4 6 4" xfId="20519" xr:uid="{F924CA46-A754-4CAC-98FE-60444CAA0E88}"/>
    <cellStyle name="Normal 9 3 4 7" xfId="4898" xr:uid="{00000000-0005-0000-0000-000035200000}"/>
    <cellStyle name="Normal 9 3 4 7 2" xfId="14224" xr:uid="{32299E84-B606-4533-97DB-84782FB2BF7E}"/>
    <cellStyle name="Normal 9 3 4 7 3" xfId="22671" xr:uid="{93A5F32F-C87B-4373-A48A-36E28E6B964C}"/>
    <cellStyle name="Normal 9 3 4 8" xfId="8984" xr:uid="{A39B104A-EAEF-4D5B-B504-6104111E924B}"/>
    <cellStyle name="Normal 9 3 4 9" xfId="10007" xr:uid="{3B2DF79B-3D58-4E21-B65D-E94DE21A9672}"/>
    <cellStyle name="Normal 9 3 5" xfId="994" xr:uid="{00000000-0005-0000-0000-000036200000}"/>
    <cellStyle name="Normal 9 3 5 2" xfId="3227" xr:uid="{00000000-0005-0000-0000-000037200000}"/>
    <cellStyle name="Normal 9 3 5 2 2" xfId="7449" xr:uid="{00000000-0005-0000-0000-000038200000}"/>
    <cellStyle name="Normal 9 3 5 2 2 2" xfId="16775" xr:uid="{4C9B3C07-4666-4DAA-80E4-9C4A6347B558}"/>
    <cellStyle name="Normal 9 3 5 2 2 3" xfId="25222" xr:uid="{05AA5355-B8FC-4509-8A92-DF55ED656B35}"/>
    <cellStyle name="Normal 9 3 5 2 3" xfId="12558" xr:uid="{712DED95-353F-482B-B07C-D9BFF29F1A51}"/>
    <cellStyle name="Normal 9 3 5 2 4" xfId="21005" xr:uid="{02CC13DE-C2FA-40E3-AE16-11E237EA6CCB}"/>
    <cellStyle name="Normal 9 3 5 3" xfId="5304" xr:uid="{00000000-0005-0000-0000-000039200000}"/>
    <cellStyle name="Normal 9 3 5 3 2" xfId="14630" xr:uid="{36E13D84-500E-4584-BF77-72526041607F}"/>
    <cellStyle name="Normal 9 3 5 3 3" xfId="23077" xr:uid="{79E1B430-4275-4CFA-B2DC-FAC3DCD8D0D8}"/>
    <cellStyle name="Normal 9 3 5 4" xfId="9201" xr:uid="{46D523D7-8DEB-46FB-8F1C-8CE8C2FC3AD3}"/>
    <cellStyle name="Normal 9 3 5 5" xfId="10413" xr:uid="{B3D5B71B-65E1-4D7B-8ACD-73654FC1192D}"/>
    <cellStyle name="Normal 9 3 5 6" xfId="18860" xr:uid="{A0437DF8-03A4-45FC-B6D2-AB3166EE6795}"/>
    <cellStyle name="Normal 9 3 6" xfId="1410" xr:uid="{00000000-0005-0000-0000-00003A200000}"/>
    <cellStyle name="Normal 9 3 6 2" xfId="3640" xr:uid="{00000000-0005-0000-0000-00003B200000}"/>
    <cellStyle name="Normal 9 3 6 2 2" xfId="7862" xr:uid="{00000000-0005-0000-0000-00003C200000}"/>
    <cellStyle name="Normal 9 3 6 2 2 2" xfId="17188" xr:uid="{26E1AEFC-0F72-48D7-96D5-F842B989B588}"/>
    <cellStyle name="Normal 9 3 6 2 2 3" xfId="25635" xr:uid="{5C04E7B1-F775-46F2-9437-DCFD45459A3B}"/>
    <cellStyle name="Normal 9 3 6 2 3" xfId="12971" xr:uid="{1CC4A12E-8510-4256-90C0-8DF713A9233D}"/>
    <cellStyle name="Normal 9 3 6 2 4" xfId="21418" xr:uid="{E4780D25-214F-487F-ABD8-3136F5DFD027}"/>
    <cellStyle name="Normal 9 3 6 3" xfId="5717" xr:uid="{00000000-0005-0000-0000-00003D200000}"/>
    <cellStyle name="Normal 9 3 6 3 2" xfId="15043" xr:uid="{434CE8DF-4A7C-40EB-A1EF-7339BE82CA38}"/>
    <cellStyle name="Normal 9 3 6 3 3" xfId="23490" xr:uid="{B6AD7C1D-D129-4303-849C-02430A8BF2A3}"/>
    <cellStyle name="Normal 9 3 6 4" xfId="10826" xr:uid="{85C7B707-42FB-41C1-80C7-55305EA7BAF5}"/>
    <cellStyle name="Normal 9 3 6 5" xfId="19273" xr:uid="{D7E49514-3654-4C53-9C33-1A7D1ADDEAA8}"/>
    <cellStyle name="Normal 9 3 7" xfId="1823" xr:uid="{00000000-0005-0000-0000-00003E200000}"/>
    <cellStyle name="Normal 9 3 7 2" xfId="4053" xr:uid="{00000000-0005-0000-0000-00003F200000}"/>
    <cellStyle name="Normal 9 3 7 2 2" xfId="8275" xr:uid="{00000000-0005-0000-0000-000040200000}"/>
    <cellStyle name="Normal 9 3 7 2 2 2" xfId="17601" xr:uid="{4B9D9AB7-16AA-4195-AD96-7729EA70435F}"/>
    <cellStyle name="Normal 9 3 7 2 2 3" xfId="26048" xr:uid="{9342B6C8-BA81-41DC-B7BC-41F5F6B396F1}"/>
    <cellStyle name="Normal 9 3 7 2 3" xfId="13384" xr:uid="{DB6BCE6A-2CFA-4F71-8E2B-3FBD139FA9E6}"/>
    <cellStyle name="Normal 9 3 7 2 4" xfId="21831" xr:uid="{8EFF3A6E-F1CE-4653-8EE3-82048F674025}"/>
    <cellStyle name="Normal 9 3 7 3" xfId="6130" xr:uid="{00000000-0005-0000-0000-000041200000}"/>
    <cellStyle name="Normal 9 3 7 3 2" xfId="15456" xr:uid="{F721019C-BD74-4B7F-88B0-27962F528CE9}"/>
    <cellStyle name="Normal 9 3 7 3 3" xfId="23903" xr:uid="{041ABC1B-2824-43F4-BDB9-4ABFF5763C4E}"/>
    <cellStyle name="Normal 9 3 7 4" xfId="11239" xr:uid="{4515B4C4-9B09-4C84-AF18-21286D4EC535}"/>
    <cellStyle name="Normal 9 3 7 5" xfId="19686" xr:uid="{4E943644-E46E-45B9-8414-514DFF326C1B}"/>
    <cellStyle name="Normal 9 3 8" xfId="2237" xr:uid="{00000000-0005-0000-0000-000042200000}"/>
    <cellStyle name="Normal 9 3 8 2" xfId="4466" xr:uid="{00000000-0005-0000-0000-000043200000}"/>
    <cellStyle name="Normal 9 3 8 2 2" xfId="8688" xr:uid="{00000000-0005-0000-0000-000044200000}"/>
    <cellStyle name="Normal 9 3 8 2 2 2" xfId="18014" xr:uid="{37B21F79-07B4-4CFC-960E-54A19A89500B}"/>
    <cellStyle name="Normal 9 3 8 2 2 3" xfId="26461" xr:uid="{9D69A25B-E84E-4DC1-A53F-1F26C22CE061}"/>
    <cellStyle name="Normal 9 3 8 2 3" xfId="13797" xr:uid="{1252AE14-0D34-428C-B8AC-66BD92F40FDA}"/>
    <cellStyle name="Normal 9 3 8 2 4" xfId="22244" xr:uid="{1475371B-ED22-4CE8-93BA-67E8AE3BA866}"/>
    <cellStyle name="Normal 9 3 8 3" xfId="6543" xr:uid="{00000000-0005-0000-0000-000045200000}"/>
    <cellStyle name="Normal 9 3 8 3 2" xfId="15869" xr:uid="{B80792A9-C638-44CE-9651-0C5ACEA38C6A}"/>
    <cellStyle name="Normal 9 3 8 3 3" xfId="24316" xr:uid="{C7DD4F91-2511-45CF-B0B4-9DF443737B15}"/>
    <cellStyle name="Normal 9 3 8 4" xfId="11652" xr:uid="{F9CEF94C-CFCA-4EB9-BEAB-464B2E947389}"/>
    <cellStyle name="Normal 9 3 8 5" xfId="20099" xr:uid="{1F79408C-7448-4436-A337-CF65ADCEF5EA}"/>
    <cellStyle name="Normal 9 3 9" xfId="2673" xr:uid="{00000000-0005-0000-0000-000046200000}"/>
    <cellStyle name="Normal 9 3 9 2" xfId="6956" xr:uid="{00000000-0005-0000-0000-000047200000}"/>
    <cellStyle name="Normal 9 3 9 2 2" xfId="16282" xr:uid="{13AF2A7F-751A-4A89-92F3-900834A03B61}"/>
    <cellStyle name="Normal 9 3 9 2 3" xfId="24729" xr:uid="{10282DA3-345B-43B7-B158-7BEDED4CF882}"/>
    <cellStyle name="Normal 9 3 9 3" xfId="12065" xr:uid="{7AD465DF-1614-484E-BDEA-C196C13C15E9}"/>
    <cellStyle name="Normal 9 3 9 4" xfId="20512" xr:uid="{D1E6E8F7-DD63-4E3F-A096-E4D593643008}"/>
    <cellStyle name="Normal 9 4" xfId="535" xr:uid="{00000000-0005-0000-0000-000048200000}"/>
    <cellStyle name="Normal 9 4 2" xfId="1002" xr:uid="{00000000-0005-0000-0000-000049200000}"/>
    <cellStyle name="Normal 9 5" xfId="536" xr:uid="{00000000-0005-0000-0000-00004A200000}"/>
    <cellStyle name="Normal 9 5 10" xfId="10008" xr:uid="{35FFA332-73B7-4E9E-ADB0-0E99120E373E}"/>
    <cellStyle name="Normal 9 5 11" xfId="18455" xr:uid="{EAEF083F-2CFC-48E2-8E10-37062C6E7FD6}"/>
    <cellStyle name="Normal 9 5 2" xfId="537" xr:uid="{00000000-0005-0000-0000-00004B200000}"/>
    <cellStyle name="Normal 9 5 2 10" xfId="18456" xr:uid="{52A2BFC1-02FF-44DF-88AE-AC9A99688436}"/>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C42EFE42-F8ED-4551-889D-80AD51576BA3}"/>
    <cellStyle name="Normal 9 5 2 2 2 2 3" xfId="25231" xr:uid="{8815FFD1-0214-42A4-A1CF-472EB5526513}"/>
    <cellStyle name="Normal 9 5 2 2 2 3" xfId="12567" xr:uid="{055F550A-0146-475A-AFA5-EB8EB5134684}"/>
    <cellStyle name="Normal 9 5 2 2 2 4" xfId="21014" xr:uid="{947A911D-ECA0-49FD-9E62-8C738482C152}"/>
    <cellStyle name="Normal 9 5 2 2 3" xfId="5313" xr:uid="{00000000-0005-0000-0000-00004F200000}"/>
    <cellStyle name="Normal 9 5 2 2 3 2" xfId="14639" xr:uid="{03710B6D-2943-438A-8A8C-FAD9452AE708}"/>
    <cellStyle name="Normal 9 5 2 2 3 3" xfId="23086" xr:uid="{F570A26B-EC98-4A77-B644-4E3C250FF559}"/>
    <cellStyle name="Normal 9 5 2 2 4" xfId="9480" xr:uid="{BC9702BE-C2B3-450A-99DF-6FFE7C7A82FD}"/>
    <cellStyle name="Normal 9 5 2 2 5" xfId="10422" xr:uid="{0C318F0D-8DAD-47CF-90A1-08B0567C46C1}"/>
    <cellStyle name="Normal 9 5 2 2 6" xfId="18869" xr:uid="{502A8407-47CA-425F-A292-70AEBFAF20D9}"/>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ED38B0FD-80D6-4D50-9BAC-9C5B4F8B8198}"/>
    <cellStyle name="Normal 9 5 2 3 2 2 3" xfId="25644" xr:uid="{0DAA201D-4F90-4FEA-B87E-A75F1938BC88}"/>
    <cellStyle name="Normal 9 5 2 3 2 3" xfId="12980" xr:uid="{EA0EE58D-552D-4061-B654-6C7F80462841}"/>
    <cellStyle name="Normal 9 5 2 3 2 4" xfId="21427" xr:uid="{12EF4C4C-224E-4219-A3F3-A6EFBAC3CAFC}"/>
    <cellStyle name="Normal 9 5 2 3 3" xfId="5726" xr:uid="{00000000-0005-0000-0000-000053200000}"/>
    <cellStyle name="Normal 9 5 2 3 3 2" xfId="15052" xr:uid="{DEB7301E-9B19-4F1B-BE2F-71087378E6C9}"/>
    <cellStyle name="Normal 9 5 2 3 3 3" xfId="23499" xr:uid="{7670A41A-399B-4D90-BCEA-77E0BF7BCB8F}"/>
    <cellStyle name="Normal 9 5 2 3 4" xfId="10835" xr:uid="{81A054EE-6B69-4879-AD8A-A2624EDE23B5}"/>
    <cellStyle name="Normal 9 5 2 3 5" xfId="19282" xr:uid="{E2E7750A-A8AD-4EF8-9397-CF9568DF5088}"/>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6A431F86-A2B7-4B55-B9C8-2B67B64554C9}"/>
    <cellStyle name="Normal 9 5 2 4 2 2 3" xfId="26057" xr:uid="{BE88C4D1-CB75-4141-93B2-0F28388AB731}"/>
    <cellStyle name="Normal 9 5 2 4 2 3" xfId="13393" xr:uid="{883C2CE9-48BB-41D6-AF2D-A20262F03E40}"/>
    <cellStyle name="Normal 9 5 2 4 2 4" xfId="21840" xr:uid="{AAD6D7F6-882A-4992-AFEF-24B6484BF400}"/>
    <cellStyle name="Normal 9 5 2 4 3" xfId="6139" xr:uid="{00000000-0005-0000-0000-000057200000}"/>
    <cellStyle name="Normal 9 5 2 4 3 2" xfId="15465" xr:uid="{F301FE81-1A59-4222-8AD9-31BE45980497}"/>
    <cellStyle name="Normal 9 5 2 4 3 3" xfId="23912" xr:uid="{02E7DDCA-23AF-4633-837B-AD24FE7DE072}"/>
    <cellStyle name="Normal 9 5 2 4 4" xfId="11248" xr:uid="{6DDEE0C7-6FC7-4289-8E74-1A118C2272CC}"/>
    <cellStyle name="Normal 9 5 2 4 5" xfId="19695" xr:uid="{7D7A68C4-4A9D-401D-B238-3951250706A1}"/>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3B95B54C-CD50-4704-B9BE-7F1A5DD57C13}"/>
    <cellStyle name="Normal 9 5 2 5 2 2 3" xfId="26470" xr:uid="{81017BB2-9B50-4258-B5A2-9F056F7964C1}"/>
    <cellStyle name="Normal 9 5 2 5 2 3" xfId="13806" xr:uid="{D27E8198-4F53-451D-A931-C01E86BE3344}"/>
    <cellStyle name="Normal 9 5 2 5 2 4" xfId="22253" xr:uid="{BDDA0565-F780-46FC-81ED-0766ADD2C77E}"/>
    <cellStyle name="Normal 9 5 2 5 3" xfId="6552" xr:uid="{00000000-0005-0000-0000-00005B200000}"/>
    <cellStyle name="Normal 9 5 2 5 3 2" xfId="15878" xr:uid="{B1485C4A-A2AF-4E87-868F-8BB836693776}"/>
    <cellStyle name="Normal 9 5 2 5 3 3" xfId="24325" xr:uid="{4583760B-FBFE-46CC-9850-4A54925AE057}"/>
    <cellStyle name="Normal 9 5 2 5 4" xfId="11661" xr:uid="{AD5C6C7B-34E9-42CC-9167-DB40626512BA}"/>
    <cellStyle name="Normal 9 5 2 5 5" xfId="20108" xr:uid="{DC1C0792-21B5-4573-8205-D84CEC969B10}"/>
    <cellStyle name="Normal 9 5 2 6" xfId="2682" xr:uid="{00000000-0005-0000-0000-00005C200000}"/>
    <cellStyle name="Normal 9 5 2 6 2" xfId="6965" xr:uid="{00000000-0005-0000-0000-00005D200000}"/>
    <cellStyle name="Normal 9 5 2 6 2 2" xfId="16291" xr:uid="{2049E067-895F-44C4-9521-67E02664389F}"/>
    <cellStyle name="Normal 9 5 2 6 2 3" xfId="24738" xr:uid="{7A51F196-B292-40FC-BF49-481197EEB71D}"/>
    <cellStyle name="Normal 9 5 2 6 3" xfId="12074" xr:uid="{B341F532-F2C0-4D33-B47E-2C1A0A218DEF}"/>
    <cellStyle name="Normal 9 5 2 6 4" xfId="20521" xr:uid="{9D4B3439-A831-4C0E-863F-C42B94878E8C}"/>
    <cellStyle name="Normal 9 5 2 7" xfId="4900" xr:uid="{00000000-0005-0000-0000-00005E200000}"/>
    <cellStyle name="Normal 9 5 2 7 2" xfId="14226" xr:uid="{F3C67EBC-2AB0-474A-9FF8-97240DE929C3}"/>
    <cellStyle name="Normal 9 5 2 7 3" xfId="22673" xr:uid="{73415526-B1E1-416C-A6E3-3DF80B8F2B75}"/>
    <cellStyle name="Normal 9 5 2 8" xfId="9055" xr:uid="{3DD071E2-A4B3-45E3-9F20-3C2D5AEE5CB2}"/>
    <cellStyle name="Normal 9 5 2 9" xfId="10009" xr:uid="{C76E83C7-0316-492E-9A5D-8B6AABF34852}"/>
    <cellStyle name="Normal 9 5 3" xfId="1003" xr:uid="{00000000-0005-0000-0000-00005F200000}"/>
    <cellStyle name="Normal 9 5 3 2" xfId="3235" xr:uid="{00000000-0005-0000-0000-000060200000}"/>
    <cellStyle name="Normal 9 5 3 2 2" xfId="7457" xr:uid="{00000000-0005-0000-0000-000061200000}"/>
    <cellStyle name="Normal 9 5 3 2 2 2" xfId="16783" xr:uid="{6CAEDB0F-69FA-41AC-A1F9-DC85F4996ECB}"/>
    <cellStyle name="Normal 9 5 3 2 2 3" xfId="25230" xr:uid="{ECE4DE9E-ED19-492A-9AFB-0E05B0360F24}"/>
    <cellStyle name="Normal 9 5 3 2 3" xfId="12566" xr:uid="{EB1B2684-4523-4FBC-ABC3-205D25E6970E}"/>
    <cellStyle name="Normal 9 5 3 2 4" xfId="21013" xr:uid="{1CB907E3-3A60-42CE-B888-3B6017F9DA70}"/>
    <cellStyle name="Normal 9 5 3 3" xfId="5312" xr:uid="{00000000-0005-0000-0000-000062200000}"/>
    <cellStyle name="Normal 9 5 3 3 2" xfId="14638" xr:uid="{E4057D79-2BA2-4FA1-BB9C-78AE4B48D53A}"/>
    <cellStyle name="Normal 9 5 3 3 3" xfId="23085" xr:uid="{6575F6DF-D78C-49A6-A950-A3271E590119}"/>
    <cellStyle name="Normal 9 5 3 4" xfId="9273" xr:uid="{AE6CB61B-02C5-436E-A328-3B2AC8AC9E53}"/>
    <cellStyle name="Normal 9 5 3 5" xfId="10421" xr:uid="{F2FE2AA9-3936-45F5-9529-831BC99DCC79}"/>
    <cellStyle name="Normal 9 5 3 6" xfId="18868" xr:uid="{D1CD567F-5136-4B53-8863-CCC43F24C69C}"/>
    <cellStyle name="Normal 9 5 4" xfId="1418" xr:uid="{00000000-0005-0000-0000-000063200000}"/>
    <cellStyle name="Normal 9 5 4 2" xfId="3648" xr:uid="{00000000-0005-0000-0000-000064200000}"/>
    <cellStyle name="Normal 9 5 4 2 2" xfId="7870" xr:uid="{00000000-0005-0000-0000-000065200000}"/>
    <cellStyle name="Normal 9 5 4 2 2 2" xfId="17196" xr:uid="{73CBED60-5C2C-404D-A87C-8D5543061EBF}"/>
    <cellStyle name="Normal 9 5 4 2 2 3" xfId="25643" xr:uid="{630883A6-C86D-4821-A70A-62CA9EAD2349}"/>
    <cellStyle name="Normal 9 5 4 2 3" xfId="12979" xr:uid="{333A24CE-46FF-48A3-940C-BAFECF7F06EE}"/>
    <cellStyle name="Normal 9 5 4 2 4" xfId="21426" xr:uid="{E2840C94-4032-4C08-A753-B1F02207974C}"/>
    <cellStyle name="Normal 9 5 4 3" xfId="5725" xr:uid="{00000000-0005-0000-0000-000066200000}"/>
    <cellStyle name="Normal 9 5 4 3 2" xfId="15051" xr:uid="{7B4D2B42-E3A8-4E68-986C-9B8892DC36B8}"/>
    <cellStyle name="Normal 9 5 4 3 3" xfId="23498" xr:uid="{AB65F76A-C546-4A04-B79C-8F59C26551A3}"/>
    <cellStyle name="Normal 9 5 4 4" xfId="10834" xr:uid="{3051D285-C9A4-467E-BBF3-CF20001E82FC}"/>
    <cellStyle name="Normal 9 5 4 5" xfId="19281" xr:uid="{6B0783AC-68C0-4BC7-8C47-317E78DDFA37}"/>
    <cellStyle name="Normal 9 5 5" xfId="1831" xr:uid="{00000000-0005-0000-0000-000067200000}"/>
    <cellStyle name="Normal 9 5 5 2" xfId="4061" xr:uid="{00000000-0005-0000-0000-000068200000}"/>
    <cellStyle name="Normal 9 5 5 2 2" xfId="8283" xr:uid="{00000000-0005-0000-0000-000069200000}"/>
    <cellStyle name="Normal 9 5 5 2 2 2" xfId="17609" xr:uid="{679E341D-D75A-4287-9EF7-A66CBF47FAC1}"/>
    <cellStyle name="Normal 9 5 5 2 2 3" xfId="26056" xr:uid="{76025223-9B2A-4909-9DF6-B4B648523A19}"/>
    <cellStyle name="Normal 9 5 5 2 3" xfId="13392" xr:uid="{698465FC-6D11-4FFC-9241-C13A3C8C455A}"/>
    <cellStyle name="Normal 9 5 5 2 4" xfId="21839" xr:uid="{D4D384C2-903F-4F96-9A02-BA34C1B4B8B6}"/>
    <cellStyle name="Normal 9 5 5 3" xfId="6138" xr:uid="{00000000-0005-0000-0000-00006A200000}"/>
    <cellStyle name="Normal 9 5 5 3 2" xfId="15464" xr:uid="{35AC38E0-038A-4545-BF34-C219DCB96F1F}"/>
    <cellStyle name="Normal 9 5 5 3 3" xfId="23911" xr:uid="{798E9581-5ECD-48B4-A669-C6EED0D473B8}"/>
    <cellStyle name="Normal 9 5 5 4" xfId="11247" xr:uid="{02071611-2D96-4665-BCA1-EF2C01FCB517}"/>
    <cellStyle name="Normal 9 5 5 5" xfId="19694" xr:uid="{2BC0A1D8-9715-4C3B-B1C2-37191E77C1E7}"/>
    <cellStyle name="Normal 9 5 6" xfId="2245" xr:uid="{00000000-0005-0000-0000-00006B200000}"/>
    <cellStyle name="Normal 9 5 6 2" xfId="4474" xr:uid="{00000000-0005-0000-0000-00006C200000}"/>
    <cellStyle name="Normal 9 5 6 2 2" xfId="8696" xr:uid="{00000000-0005-0000-0000-00006D200000}"/>
    <cellStyle name="Normal 9 5 6 2 2 2" xfId="18022" xr:uid="{0A581C40-FF4E-4B72-8A0F-77140C228ECA}"/>
    <cellStyle name="Normal 9 5 6 2 2 3" xfId="26469" xr:uid="{353B3639-8243-48CF-92FE-EA11EC4FAE41}"/>
    <cellStyle name="Normal 9 5 6 2 3" xfId="13805" xr:uid="{5E4A959E-9856-44F2-ADA9-21631F6261AE}"/>
    <cellStyle name="Normal 9 5 6 2 4" xfId="22252" xr:uid="{44DCB81C-99FE-4CF5-B89A-779EA7673F83}"/>
    <cellStyle name="Normal 9 5 6 3" xfId="6551" xr:uid="{00000000-0005-0000-0000-00006E200000}"/>
    <cellStyle name="Normal 9 5 6 3 2" xfId="15877" xr:uid="{B0ABD25D-70B1-4051-AD6F-FE2B2CE307D5}"/>
    <cellStyle name="Normal 9 5 6 3 3" xfId="24324" xr:uid="{CED2B438-3BA6-4A25-8D38-9DE165932E53}"/>
    <cellStyle name="Normal 9 5 6 4" xfId="11660" xr:uid="{BDA2EBA7-A639-49BB-AA95-85CE3BB95237}"/>
    <cellStyle name="Normal 9 5 6 5" xfId="20107" xr:uid="{A0C914CA-05E3-457E-8BCE-C2697C04C571}"/>
    <cellStyle name="Normal 9 5 7" xfId="2681" xr:uid="{00000000-0005-0000-0000-00006F200000}"/>
    <cellStyle name="Normal 9 5 7 2" xfId="6964" xr:uid="{00000000-0005-0000-0000-000070200000}"/>
    <cellStyle name="Normal 9 5 7 2 2" xfId="16290" xr:uid="{B3D9773F-58B5-4512-A97F-4F3CE86FAEEF}"/>
    <cellStyle name="Normal 9 5 7 2 3" xfId="24737" xr:uid="{44368D7F-8B91-4478-8757-12606EB2DE0B}"/>
    <cellStyle name="Normal 9 5 7 3" xfId="12073" xr:uid="{AD10942F-D351-4584-9605-430B85CD59A9}"/>
    <cellStyle name="Normal 9 5 7 4" xfId="20520" xr:uid="{85819C40-264D-4F03-9D7C-ACCF779D044F}"/>
    <cellStyle name="Normal 9 5 8" xfId="4899" xr:uid="{00000000-0005-0000-0000-000071200000}"/>
    <cellStyle name="Normal 9 5 8 2" xfId="14225" xr:uid="{0690030F-9591-4337-9D57-950259A5D8E0}"/>
    <cellStyle name="Normal 9 5 8 3" xfId="22672" xr:uid="{53668060-A358-4ACF-9EEC-B7D6151C1596}"/>
    <cellStyle name="Normal 9 5 9" xfId="8848" xr:uid="{B1BE5F70-14E5-42B6-9EBA-D267F3B60A08}"/>
    <cellStyle name="Normal 9 6" xfId="538" xr:uid="{00000000-0005-0000-0000-000072200000}"/>
    <cellStyle name="Normal 9 6 10" xfId="18457" xr:uid="{BA1E38DC-6B3C-46FB-AD45-725E0D2EBF97}"/>
    <cellStyle name="Normal 9 6 2" xfId="1005" xr:uid="{00000000-0005-0000-0000-000073200000}"/>
    <cellStyle name="Normal 9 6 2 2" xfId="3237" xr:uid="{00000000-0005-0000-0000-000074200000}"/>
    <cellStyle name="Normal 9 6 2 2 2" xfId="7459" xr:uid="{00000000-0005-0000-0000-000075200000}"/>
    <cellStyle name="Normal 9 6 2 2 2 2" xfId="16785" xr:uid="{48E43861-CFF4-4EE9-A8DC-0E0B1D9B964D}"/>
    <cellStyle name="Normal 9 6 2 2 2 3" xfId="25232" xr:uid="{8427EAB6-4028-4D55-9459-BAF949645CBF}"/>
    <cellStyle name="Normal 9 6 2 2 3" xfId="12568" xr:uid="{D262CC93-D0EB-426D-8628-C9C0A62D7D97}"/>
    <cellStyle name="Normal 9 6 2 2 4" xfId="21015" xr:uid="{CA7897A4-AC0C-4246-9903-21DBD143FA72}"/>
    <cellStyle name="Normal 9 6 2 3" xfId="5314" xr:uid="{00000000-0005-0000-0000-000076200000}"/>
    <cellStyle name="Normal 9 6 2 3 2" xfId="14640" xr:uid="{15192925-510E-4447-8577-163B556188EF}"/>
    <cellStyle name="Normal 9 6 2 3 3" xfId="23087" xr:uid="{5753010A-4C77-4F2A-9C9C-26A603677D75}"/>
    <cellStyle name="Normal 9 6 2 4" xfId="9389" xr:uid="{2A0458F6-466A-4C3B-BA39-FF09FD770FDD}"/>
    <cellStyle name="Normal 9 6 2 5" xfId="10423" xr:uid="{5EA68B2B-797B-4788-A56C-AF526C9A1CDA}"/>
    <cellStyle name="Normal 9 6 2 6" xfId="18870" xr:uid="{5BBA2B15-C911-40F0-A0AD-AC1A35189E64}"/>
    <cellStyle name="Normal 9 6 3" xfId="1420" xr:uid="{00000000-0005-0000-0000-000077200000}"/>
    <cellStyle name="Normal 9 6 3 2" xfId="3650" xr:uid="{00000000-0005-0000-0000-000078200000}"/>
    <cellStyle name="Normal 9 6 3 2 2" xfId="7872" xr:uid="{00000000-0005-0000-0000-000079200000}"/>
    <cellStyle name="Normal 9 6 3 2 2 2" xfId="17198" xr:uid="{80912AA5-4FF8-4774-B0E3-3F690EC2D612}"/>
    <cellStyle name="Normal 9 6 3 2 2 3" xfId="25645" xr:uid="{71C4F0EC-9EBB-4243-8441-6500C2B80299}"/>
    <cellStyle name="Normal 9 6 3 2 3" xfId="12981" xr:uid="{107EAC93-EFAF-475E-93F0-7BEF7E5317C0}"/>
    <cellStyle name="Normal 9 6 3 2 4" xfId="21428" xr:uid="{5639DE60-DBDA-4C93-8E91-63348355BA57}"/>
    <cellStyle name="Normal 9 6 3 3" xfId="5727" xr:uid="{00000000-0005-0000-0000-00007A200000}"/>
    <cellStyle name="Normal 9 6 3 3 2" xfId="15053" xr:uid="{CADD90F7-1BF3-4653-A670-A48E4F2DF05A}"/>
    <cellStyle name="Normal 9 6 3 3 3" xfId="23500" xr:uid="{34274689-09E3-4911-B1C7-C1D33143BAD2}"/>
    <cellStyle name="Normal 9 6 3 4" xfId="10836" xr:uid="{A099EEFE-49D9-4554-B691-5F8412355EC5}"/>
    <cellStyle name="Normal 9 6 3 5" xfId="19283" xr:uid="{2F7CC1CB-7C14-4F41-A069-32A020B82BCA}"/>
    <cellStyle name="Normal 9 6 4" xfId="1833" xr:uid="{00000000-0005-0000-0000-00007B200000}"/>
    <cellStyle name="Normal 9 6 4 2" xfId="4063" xr:uid="{00000000-0005-0000-0000-00007C200000}"/>
    <cellStyle name="Normal 9 6 4 2 2" xfId="8285" xr:uid="{00000000-0005-0000-0000-00007D200000}"/>
    <cellStyle name="Normal 9 6 4 2 2 2" xfId="17611" xr:uid="{E14AED6A-1A7B-4C9A-B8B8-67D5ABA088A9}"/>
    <cellStyle name="Normal 9 6 4 2 2 3" xfId="26058" xr:uid="{D59B34BB-9D32-4D9A-A0F1-1DC374D5C1B1}"/>
    <cellStyle name="Normal 9 6 4 2 3" xfId="13394" xr:uid="{68F0AB5E-8621-496F-9690-FF75F0BB23E7}"/>
    <cellStyle name="Normal 9 6 4 2 4" xfId="21841" xr:uid="{0FA4C0A5-F93F-4472-A71A-AB2572142E7E}"/>
    <cellStyle name="Normal 9 6 4 3" xfId="6140" xr:uid="{00000000-0005-0000-0000-00007E200000}"/>
    <cellStyle name="Normal 9 6 4 3 2" xfId="15466" xr:uid="{0B26D5E9-CB1A-47C1-8EB9-60D9E216E4E8}"/>
    <cellStyle name="Normal 9 6 4 3 3" xfId="23913" xr:uid="{011B5220-C332-4182-AE91-83A5FF5CB978}"/>
    <cellStyle name="Normal 9 6 4 4" xfId="11249" xr:uid="{73031619-C3ED-4981-8BCB-12CF6B4A71E5}"/>
    <cellStyle name="Normal 9 6 4 5" xfId="19696" xr:uid="{0D976A05-1F5B-4610-BC93-BEA175234782}"/>
    <cellStyle name="Normal 9 6 5" xfId="2247" xr:uid="{00000000-0005-0000-0000-00007F200000}"/>
    <cellStyle name="Normal 9 6 5 2" xfId="4476" xr:uid="{00000000-0005-0000-0000-000080200000}"/>
    <cellStyle name="Normal 9 6 5 2 2" xfId="8698" xr:uid="{00000000-0005-0000-0000-000081200000}"/>
    <cellStyle name="Normal 9 6 5 2 2 2" xfId="18024" xr:uid="{DEB76E7F-77EF-4C2E-91A9-C857DF9E0579}"/>
    <cellStyle name="Normal 9 6 5 2 2 3" xfId="26471" xr:uid="{D4D7C05B-2524-4099-AC1A-5D0BEF9B8E2F}"/>
    <cellStyle name="Normal 9 6 5 2 3" xfId="13807" xr:uid="{E2F85227-35D6-4802-8D5C-B8349CB14821}"/>
    <cellStyle name="Normal 9 6 5 2 4" xfId="22254" xr:uid="{2CDFFFAD-3A8F-4660-9C33-90D6BFD8FB6B}"/>
    <cellStyle name="Normal 9 6 5 3" xfId="6553" xr:uid="{00000000-0005-0000-0000-000082200000}"/>
    <cellStyle name="Normal 9 6 5 3 2" xfId="15879" xr:uid="{88DC2B57-06CD-40DE-A58E-257042524C0F}"/>
    <cellStyle name="Normal 9 6 5 3 3" xfId="24326" xr:uid="{26B42F81-E541-4F2C-9CD0-7D4A58B509F7}"/>
    <cellStyle name="Normal 9 6 5 4" xfId="11662" xr:uid="{7824E495-CB7A-4022-986F-F93F961745DB}"/>
    <cellStyle name="Normal 9 6 5 5" xfId="20109" xr:uid="{43449998-A365-4F99-BAAC-7B2ED14E9329}"/>
    <cellStyle name="Normal 9 6 6" xfId="2683" xr:uid="{00000000-0005-0000-0000-000083200000}"/>
    <cellStyle name="Normal 9 6 6 2" xfId="6966" xr:uid="{00000000-0005-0000-0000-000084200000}"/>
    <cellStyle name="Normal 9 6 6 2 2" xfId="16292" xr:uid="{3F5F7A3A-5878-42DA-A1BA-40DA802FF5EB}"/>
    <cellStyle name="Normal 9 6 6 2 3" xfId="24739" xr:uid="{84975CF5-C843-449E-9BA0-E091368D21AA}"/>
    <cellStyle name="Normal 9 6 6 3" xfId="12075" xr:uid="{0FE044F0-3B2A-417A-8E0F-37D2630A2208}"/>
    <cellStyle name="Normal 9 6 6 4" xfId="20522" xr:uid="{2B57ECC0-99FF-4287-A19D-CCE5D227ADC1}"/>
    <cellStyle name="Normal 9 6 7" xfId="4901" xr:uid="{00000000-0005-0000-0000-000085200000}"/>
    <cellStyle name="Normal 9 6 7 2" xfId="14227" xr:uid="{5E970799-43AC-4507-862B-D02690A9B5B9}"/>
    <cellStyle name="Normal 9 6 7 3" xfId="22674" xr:uid="{EFF27531-A1B8-4F58-8CFE-89A18977F7B5}"/>
    <cellStyle name="Normal 9 6 8" xfId="8964" xr:uid="{9BBC9C46-7A3A-4BC9-9542-DC33DFA165C2}"/>
    <cellStyle name="Normal 9 6 9" xfId="10010" xr:uid="{57CB0FBA-DB6F-4B15-A1F5-9264BCD30154}"/>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393DA1AB-A23F-4BB7-AEB9-878960F6E7B4}"/>
    <cellStyle name="Note 2 2 10 2 3" xfId="24820" xr:uid="{E6AA1D8C-D20D-4D4A-B10D-26DE3ACDF377}"/>
    <cellStyle name="Note 2 2 10 3" xfId="12156" xr:uid="{591AE2A8-224A-4051-9D25-05DDD386265C}"/>
    <cellStyle name="Note 2 2 10 4" xfId="20603" xr:uid="{BB305A47-D27C-49C2-BCE5-B748DA27297A}"/>
    <cellStyle name="Note 2 2 11" xfId="4902" xr:uid="{00000000-0005-0000-0000-000094200000}"/>
    <cellStyle name="Note 2 2 11 2" xfId="14228" xr:uid="{30D7B5E9-301D-4669-B5C7-A3CDC52715B1}"/>
    <cellStyle name="Note 2 2 11 3" xfId="22675" xr:uid="{FA9B0AA0-2B06-48D0-B61D-8EEBA69C5B8D}"/>
    <cellStyle name="Note 2 2 12" xfId="8841" xr:uid="{E94E1FD8-31C4-4718-9658-C7A587CBF323}"/>
    <cellStyle name="Note 2 2 13" xfId="10011" xr:uid="{035955A6-97C9-40A2-95B4-CEBD1F148460}"/>
    <cellStyle name="Note 2 2 14" xfId="18458" xr:uid="{C082BEEE-82F8-4067-A209-86C4252DF0AA}"/>
    <cellStyle name="Note 2 2 2" xfId="546" xr:uid="{00000000-0005-0000-0000-000095200000}"/>
    <cellStyle name="Note 2 2 2 10" xfId="4903" xr:uid="{00000000-0005-0000-0000-000096200000}"/>
    <cellStyle name="Note 2 2 2 10 2" xfId="14229" xr:uid="{B5CAF951-94C3-4900-97CD-54428A3D8798}"/>
    <cellStyle name="Note 2 2 2 10 3" xfId="22676" xr:uid="{2D4350AA-D0B9-4486-A208-ECC8874EB9EB}"/>
    <cellStyle name="Note 2 2 2 11" xfId="8944" xr:uid="{B75A3404-A4A3-41D6-B6C3-54560C6DD592}"/>
    <cellStyle name="Note 2 2 2 12" xfId="10012" xr:uid="{30B8972F-7DDD-4111-B1A3-3DE97D1F7037}"/>
    <cellStyle name="Note 2 2 2 13" xfId="18459" xr:uid="{1E4F3B1C-EABE-4E56-AC98-D0EB35740F6D}"/>
    <cellStyle name="Note 2 2 2 2" xfId="547" xr:uid="{00000000-0005-0000-0000-000097200000}"/>
    <cellStyle name="Note 2 2 2 2 10" xfId="9151" xr:uid="{DE810DD8-00EC-4339-9CFC-C84D5E182971}"/>
    <cellStyle name="Note 2 2 2 2 11" xfId="10013" xr:uid="{9B3E3CD2-2E9D-40D4-AB67-314AF6CAF2BD}"/>
    <cellStyle name="Note 2 2 2 2 12" xfId="18460" xr:uid="{971178A0-0C57-4457-AC79-D28723D96B5F}"/>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723F4D57-2647-40D3-9E04-4BCD9C67CBD8}"/>
    <cellStyle name="Note 2 2 2 2 2 2 2 3" xfId="25235" xr:uid="{E279B972-53A7-41BE-862A-771F83E40945}"/>
    <cellStyle name="Note 2 2 2 2 2 2 3" xfId="12571" xr:uid="{34D65179-8619-48E4-87FA-D607A50C2931}"/>
    <cellStyle name="Note 2 2 2 2 2 2 4" xfId="21018" xr:uid="{8CEBE29C-3DB4-4DD0-82D5-8C7B863F6E7A}"/>
    <cellStyle name="Note 2 2 2 2 2 3" xfId="5317" xr:uid="{00000000-0005-0000-0000-00009B200000}"/>
    <cellStyle name="Note 2 2 2 2 2 3 2" xfId="14643" xr:uid="{3F6F0AA0-BD9F-48CD-8B66-1BF9A4ACCFE6}"/>
    <cellStyle name="Note 2 2 2 2 2 3 3" xfId="23090" xr:uid="{00661763-A1C1-495B-A0E1-A87E9BA78ABD}"/>
    <cellStyle name="Note 2 2 2 2 2 4" xfId="9576" xr:uid="{375E296C-598F-454E-B7C4-9E851CE02ED2}"/>
    <cellStyle name="Note 2 2 2 2 2 5" xfId="10426" xr:uid="{AB0AF28D-4DDB-4A69-AA99-5A658B27828D}"/>
    <cellStyle name="Note 2 2 2 2 2 6" xfId="18873" xr:uid="{61364E6E-E127-4D05-902F-B6AADA4AC241}"/>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6BD8CC00-43CD-412C-89AC-610FFD068234}"/>
    <cellStyle name="Note 2 2 2 2 3 2 2 3" xfId="25648" xr:uid="{5A213431-ABE1-4921-83D3-64850684358A}"/>
    <cellStyle name="Note 2 2 2 2 3 2 3" xfId="12984" xr:uid="{6FA68540-0DE3-4CEA-AF67-A24ACAE56EC4}"/>
    <cellStyle name="Note 2 2 2 2 3 2 4" xfId="21431" xr:uid="{16F13B3B-4E64-4B6F-AF59-494A87E2E507}"/>
    <cellStyle name="Note 2 2 2 2 3 3" xfId="5730" xr:uid="{00000000-0005-0000-0000-00009F200000}"/>
    <cellStyle name="Note 2 2 2 2 3 3 2" xfId="15056" xr:uid="{C11A4838-E0B0-42A1-938E-49DE94732C08}"/>
    <cellStyle name="Note 2 2 2 2 3 3 3" xfId="23503" xr:uid="{8A363CBF-4B6E-404A-B7AE-BABB9057BAD8}"/>
    <cellStyle name="Note 2 2 2 2 3 4" xfId="10839" xr:uid="{A8E65D17-13D2-4B14-935C-B6BAC9765141}"/>
    <cellStyle name="Note 2 2 2 2 3 5" xfId="19286" xr:uid="{10670728-9ADE-4D76-BA21-6C8D41631113}"/>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488C61FA-671F-4B2F-A2B3-E7BC245E2D93}"/>
    <cellStyle name="Note 2 2 2 2 4 2 2 3" xfId="26061" xr:uid="{CD795B8B-D8EF-4970-96EC-009E4D01A8CE}"/>
    <cellStyle name="Note 2 2 2 2 4 2 3" xfId="13397" xr:uid="{6DB2EE9D-1F45-4AA8-8416-4E2FA93AD2C7}"/>
    <cellStyle name="Note 2 2 2 2 4 2 4" xfId="21844" xr:uid="{3FA0ABEA-C289-463E-92DE-7D5C851248B3}"/>
    <cellStyle name="Note 2 2 2 2 4 3" xfId="6143" xr:uid="{00000000-0005-0000-0000-0000A3200000}"/>
    <cellStyle name="Note 2 2 2 2 4 3 2" xfId="15469" xr:uid="{5D974A61-EFDC-4DFA-96BE-66205F218A89}"/>
    <cellStyle name="Note 2 2 2 2 4 3 3" xfId="23916" xr:uid="{14E707E6-795B-4C6A-A6FD-2F36C37E5BBB}"/>
    <cellStyle name="Note 2 2 2 2 4 4" xfId="11252" xr:uid="{60406404-2F0B-4133-ACD7-65668517CD90}"/>
    <cellStyle name="Note 2 2 2 2 4 5" xfId="19699" xr:uid="{F9754192-0237-434F-A9B8-9585353A540D}"/>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A512F2E2-57E5-42AE-85AE-7546410C54BC}"/>
    <cellStyle name="Note 2 2 2 2 5 2 2 3" xfId="26474" xr:uid="{52F0228B-294F-4679-A146-295CD3E372DE}"/>
    <cellStyle name="Note 2 2 2 2 5 2 3" xfId="13810" xr:uid="{EA359D50-E55B-476A-8509-2BCF236CF7B2}"/>
    <cellStyle name="Note 2 2 2 2 5 2 4" xfId="22257" xr:uid="{0F0AE855-1A53-4847-9BE1-CED779BB9D12}"/>
    <cellStyle name="Note 2 2 2 2 5 3" xfId="6556" xr:uid="{00000000-0005-0000-0000-0000A7200000}"/>
    <cellStyle name="Note 2 2 2 2 5 3 2" xfId="15882" xr:uid="{1FE2219C-EBCD-4731-9B32-E7FD590C24B6}"/>
    <cellStyle name="Note 2 2 2 2 5 3 3" xfId="24329" xr:uid="{85CB7E8F-1330-4F7B-9A35-3B7A05093BC3}"/>
    <cellStyle name="Note 2 2 2 2 5 4" xfId="11665" xr:uid="{DA5960A1-DFAE-4C42-B39C-1A42815C79A3}"/>
    <cellStyle name="Note 2 2 2 2 5 5" xfId="20112" xr:uid="{2CB2FD0A-5E5D-4721-A5BB-B188A1CEFF29}"/>
    <cellStyle name="Note 2 2 2 2 6" xfId="2686" xr:uid="{00000000-0005-0000-0000-0000A8200000}"/>
    <cellStyle name="Note 2 2 2 2 6 2" xfId="6969" xr:uid="{00000000-0005-0000-0000-0000A9200000}"/>
    <cellStyle name="Note 2 2 2 2 6 2 2" xfId="16295" xr:uid="{A39F3D91-8370-49A4-A73A-ABD38CED3E3B}"/>
    <cellStyle name="Note 2 2 2 2 6 2 3" xfId="24742" xr:uid="{EFD9348D-8CF4-49AA-9BB5-D08DD9C7A6DD}"/>
    <cellStyle name="Note 2 2 2 2 6 3" xfId="12078" xr:uid="{5CFC7824-EEAD-468E-9852-3F2E022EF6DF}"/>
    <cellStyle name="Note 2 2 2 2 6 4" xfId="20525" xr:uid="{06650B59-57E4-4B8C-ACF1-68156E3F067F}"/>
    <cellStyle name="Note 2 2 2 2 7" xfId="2745" xr:uid="{00000000-0005-0000-0000-0000AA200000}"/>
    <cellStyle name="Note 2 2 2 2 8" xfId="2826" xr:uid="{00000000-0005-0000-0000-0000AB200000}"/>
    <cellStyle name="Note 2 2 2 2 8 2" xfId="7049" xr:uid="{00000000-0005-0000-0000-0000AC200000}"/>
    <cellStyle name="Note 2 2 2 2 8 2 2" xfId="16375" xr:uid="{45C2FAFD-3850-4AC3-8AC3-1D87B3D1B5C5}"/>
    <cellStyle name="Note 2 2 2 2 8 2 3" xfId="24822" xr:uid="{553EED33-0BC0-418C-A2D2-244466829714}"/>
    <cellStyle name="Note 2 2 2 2 8 3" xfId="12158" xr:uid="{37E25D14-E04B-46C5-B6A5-E613617D60DC}"/>
    <cellStyle name="Note 2 2 2 2 8 4" xfId="20605" xr:uid="{FF20F51E-FA84-4F44-98E0-4488BD7C8E53}"/>
    <cellStyle name="Note 2 2 2 2 9" xfId="4904" xr:uid="{00000000-0005-0000-0000-0000AD200000}"/>
    <cellStyle name="Note 2 2 2 2 9 2" xfId="14230" xr:uid="{7EB886BC-9EBD-45C0-92AA-AE75DF78F958}"/>
    <cellStyle name="Note 2 2 2 2 9 3" xfId="22677" xr:uid="{4C62DB82-98E2-4AC6-96E1-A7A83B04C86D}"/>
    <cellStyle name="Note 2 2 2 3" xfId="1007" xr:uid="{00000000-0005-0000-0000-0000AE200000}"/>
    <cellStyle name="Note 2 2 2 3 2" xfId="3239" xr:uid="{00000000-0005-0000-0000-0000AF200000}"/>
    <cellStyle name="Note 2 2 2 3 2 2" xfId="7461" xr:uid="{00000000-0005-0000-0000-0000B0200000}"/>
    <cellStyle name="Note 2 2 2 3 2 2 2" xfId="16787" xr:uid="{2DB7425E-BC90-4A98-ABD2-895E252037B1}"/>
    <cellStyle name="Note 2 2 2 3 2 2 3" xfId="25234" xr:uid="{C8140701-51E5-4BBB-8DBB-F3F8F6E61B7A}"/>
    <cellStyle name="Note 2 2 2 3 2 3" xfId="12570" xr:uid="{B0D928B2-77C5-4611-B20B-EE57BB3D760C}"/>
    <cellStyle name="Note 2 2 2 3 2 4" xfId="21017" xr:uid="{F1BE05E9-F18D-4D80-9EBE-A9F4CC43AAB3}"/>
    <cellStyle name="Note 2 2 2 3 3" xfId="5316" xr:uid="{00000000-0005-0000-0000-0000B1200000}"/>
    <cellStyle name="Note 2 2 2 3 3 2" xfId="14642" xr:uid="{A3B1BC7B-0A79-4DE2-AFF4-51F3C2F96167}"/>
    <cellStyle name="Note 2 2 2 3 3 3" xfId="23089" xr:uid="{B03C8154-D89C-4A6D-B408-B2EEC272E2F5}"/>
    <cellStyle name="Note 2 2 2 3 4" xfId="9369" xr:uid="{37FCA23B-964B-404F-A343-B489211FDCDC}"/>
    <cellStyle name="Note 2 2 2 3 5" xfId="10425" xr:uid="{A54DB95D-7F6F-45E2-B56F-F93140FECFF1}"/>
    <cellStyle name="Note 2 2 2 3 6" xfId="18872" xr:uid="{24339D36-AF8D-46AE-B114-52D8047D8121}"/>
    <cellStyle name="Note 2 2 2 4" xfId="1422" xr:uid="{00000000-0005-0000-0000-0000B2200000}"/>
    <cellStyle name="Note 2 2 2 4 2" xfId="3652" xr:uid="{00000000-0005-0000-0000-0000B3200000}"/>
    <cellStyle name="Note 2 2 2 4 2 2" xfId="7874" xr:uid="{00000000-0005-0000-0000-0000B4200000}"/>
    <cellStyle name="Note 2 2 2 4 2 2 2" xfId="17200" xr:uid="{7207117D-B51C-41F9-8145-8E4D93D5BD79}"/>
    <cellStyle name="Note 2 2 2 4 2 2 3" xfId="25647" xr:uid="{3916C058-2672-4C8E-A6CC-56FC72E74110}"/>
    <cellStyle name="Note 2 2 2 4 2 3" xfId="12983" xr:uid="{FDC650DD-E41C-4BCE-A4B5-872804FBE015}"/>
    <cellStyle name="Note 2 2 2 4 2 4" xfId="21430" xr:uid="{A525EFEA-E704-4D05-AEA7-A19C345BC3C7}"/>
    <cellStyle name="Note 2 2 2 4 3" xfId="5729" xr:uid="{00000000-0005-0000-0000-0000B5200000}"/>
    <cellStyle name="Note 2 2 2 4 3 2" xfId="15055" xr:uid="{2134DF08-B6E0-4303-8A50-1EC31425FB31}"/>
    <cellStyle name="Note 2 2 2 4 3 3" xfId="23502" xr:uid="{E762C8B1-DDB7-496A-9F03-E95DC0033339}"/>
    <cellStyle name="Note 2 2 2 4 4" xfId="10838" xr:uid="{30726F37-7C9A-4465-ACF0-A3394FB3845B}"/>
    <cellStyle name="Note 2 2 2 4 5" xfId="19285" xr:uid="{6FFAA0BF-1AA9-4343-AB1A-39C1AFF22D31}"/>
    <cellStyle name="Note 2 2 2 5" xfId="1836" xr:uid="{00000000-0005-0000-0000-0000B6200000}"/>
    <cellStyle name="Note 2 2 2 5 2" xfId="4065" xr:uid="{00000000-0005-0000-0000-0000B7200000}"/>
    <cellStyle name="Note 2 2 2 5 2 2" xfId="8287" xr:uid="{00000000-0005-0000-0000-0000B8200000}"/>
    <cellStyle name="Note 2 2 2 5 2 2 2" xfId="17613" xr:uid="{B4DA134B-51E1-49BC-A50C-688BD386E940}"/>
    <cellStyle name="Note 2 2 2 5 2 2 3" xfId="26060" xr:uid="{68621BAC-F437-4636-8BD8-2C8D71573110}"/>
    <cellStyle name="Note 2 2 2 5 2 3" xfId="13396" xr:uid="{84341458-D7F4-4AC8-A5ED-82F258D84343}"/>
    <cellStyle name="Note 2 2 2 5 2 4" xfId="21843" xr:uid="{4EBC492D-A808-4520-A088-5D4225F2982C}"/>
    <cellStyle name="Note 2 2 2 5 3" xfId="6142" xr:uid="{00000000-0005-0000-0000-0000B9200000}"/>
    <cellStyle name="Note 2 2 2 5 3 2" xfId="15468" xr:uid="{26F2E29A-00E3-4844-9BE5-282ECAE9C6E6}"/>
    <cellStyle name="Note 2 2 2 5 3 3" xfId="23915" xr:uid="{17887976-B06E-493D-A013-5FE1E6395B3B}"/>
    <cellStyle name="Note 2 2 2 5 4" xfId="11251" xr:uid="{B294D67D-D579-4AAA-893A-E8476D0C3A09}"/>
    <cellStyle name="Note 2 2 2 5 5" xfId="19698" xr:uid="{D24EB020-BB7D-4A07-9D10-F8131D66D858}"/>
    <cellStyle name="Note 2 2 2 6" xfId="2249" xr:uid="{00000000-0005-0000-0000-0000BA200000}"/>
    <cellStyle name="Note 2 2 2 6 2" xfId="4478" xr:uid="{00000000-0005-0000-0000-0000BB200000}"/>
    <cellStyle name="Note 2 2 2 6 2 2" xfId="8700" xr:uid="{00000000-0005-0000-0000-0000BC200000}"/>
    <cellStyle name="Note 2 2 2 6 2 2 2" xfId="18026" xr:uid="{DF4AC9B2-694E-40B0-B227-429E0520328C}"/>
    <cellStyle name="Note 2 2 2 6 2 2 3" xfId="26473" xr:uid="{F5E38147-E83E-4BE6-B0DA-F4B42127F972}"/>
    <cellStyle name="Note 2 2 2 6 2 3" xfId="13809" xr:uid="{F6CE0FC1-7CFE-44E2-8E99-117D47B1BAA8}"/>
    <cellStyle name="Note 2 2 2 6 2 4" xfId="22256" xr:uid="{EAB66A92-ED35-4E0E-9EC7-5F523FBEC33E}"/>
    <cellStyle name="Note 2 2 2 6 3" xfId="6555" xr:uid="{00000000-0005-0000-0000-0000BD200000}"/>
    <cellStyle name="Note 2 2 2 6 3 2" xfId="15881" xr:uid="{FFB5F95F-91B8-431C-8DE2-ED9C60B13F40}"/>
    <cellStyle name="Note 2 2 2 6 3 3" xfId="24328" xr:uid="{FDE7F43E-9C02-4E7B-8D26-F603A8B859E4}"/>
    <cellStyle name="Note 2 2 2 6 4" xfId="11664" xr:uid="{38D2C02B-C1F9-4234-B1E2-A01677434768}"/>
    <cellStyle name="Note 2 2 2 6 5" xfId="20111" xr:uid="{13D0B71A-AEAB-4EF2-9DDA-916AF07C736F}"/>
    <cellStyle name="Note 2 2 2 7" xfId="2685" xr:uid="{00000000-0005-0000-0000-0000BE200000}"/>
    <cellStyle name="Note 2 2 2 7 2" xfId="6968" xr:uid="{00000000-0005-0000-0000-0000BF200000}"/>
    <cellStyle name="Note 2 2 2 7 2 2" xfId="16294" xr:uid="{FF9EE32A-E3AD-4EFD-9F2C-0BC6275268E8}"/>
    <cellStyle name="Note 2 2 2 7 2 3" xfId="24741" xr:uid="{6C71A42D-08D5-44DE-8013-24A6C8C7C9C0}"/>
    <cellStyle name="Note 2 2 2 7 3" xfId="12077" xr:uid="{DAAE28E0-2E7F-462D-90EA-2C53F9BC9D36}"/>
    <cellStyle name="Note 2 2 2 7 4" xfId="20524" xr:uid="{FB8E6B3B-4821-4EAA-B5A8-F8F2567F921A}"/>
    <cellStyle name="Note 2 2 2 8" xfId="2744" xr:uid="{00000000-0005-0000-0000-0000C0200000}"/>
    <cellStyle name="Note 2 2 2 9" xfId="2825" xr:uid="{00000000-0005-0000-0000-0000C1200000}"/>
    <cellStyle name="Note 2 2 2 9 2" xfId="7048" xr:uid="{00000000-0005-0000-0000-0000C2200000}"/>
    <cellStyle name="Note 2 2 2 9 2 2" xfId="16374" xr:uid="{2E8020D0-69FC-4B23-80D2-CB32DE6DEC19}"/>
    <cellStyle name="Note 2 2 2 9 2 3" xfId="24821" xr:uid="{CE751CFD-916D-4E31-8ABC-1E813E083223}"/>
    <cellStyle name="Note 2 2 2 9 3" xfId="12157" xr:uid="{4D3F7F5A-EA0E-4D49-8BF4-80EC956F47F6}"/>
    <cellStyle name="Note 2 2 2 9 4" xfId="20604" xr:uid="{9D6744BC-ED03-41A9-AB95-686D8D1C4BF9}"/>
    <cellStyle name="Note 2 2 3" xfId="548" xr:uid="{00000000-0005-0000-0000-0000C3200000}"/>
    <cellStyle name="Note 2 2 3 10" xfId="9048" xr:uid="{894401FF-B7D8-49E8-91E6-A1C42DD04D54}"/>
    <cellStyle name="Note 2 2 3 11" xfId="10014" xr:uid="{4E26E51B-D31C-41C0-9455-B13BB975158F}"/>
    <cellStyle name="Note 2 2 3 12" xfId="18461" xr:uid="{2B0310C7-EB31-4FF5-92F0-6B952C8F96DD}"/>
    <cellStyle name="Note 2 2 3 2" xfId="1009" xr:uid="{00000000-0005-0000-0000-0000C4200000}"/>
    <cellStyle name="Note 2 2 3 2 2" xfId="3241" xr:uid="{00000000-0005-0000-0000-0000C5200000}"/>
    <cellStyle name="Note 2 2 3 2 2 2" xfId="7463" xr:uid="{00000000-0005-0000-0000-0000C6200000}"/>
    <cellStyle name="Note 2 2 3 2 2 2 2" xfId="16789" xr:uid="{F9E2CCE9-6E82-44BF-A480-3546E4E29455}"/>
    <cellStyle name="Note 2 2 3 2 2 2 3" xfId="25236" xr:uid="{666AD7AD-A209-499E-81FC-672B75FE6FB3}"/>
    <cellStyle name="Note 2 2 3 2 2 3" xfId="12572" xr:uid="{824B9EF1-FFB3-48B0-BA6B-88AE80CC16E6}"/>
    <cellStyle name="Note 2 2 3 2 2 4" xfId="21019" xr:uid="{E6C1D3B0-0537-4E99-B3D4-B7EEB5A64945}"/>
    <cellStyle name="Note 2 2 3 2 3" xfId="5318" xr:uid="{00000000-0005-0000-0000-0000C7200000}"/>
    <cellStyle name="Note 2 2 3 2 3 2" xfId="14644" xr:uid="{21737F2F-F3DF-45AD-80EE-04857E2B7AB2}"/>
    <cellStyle name="Note 2 2 3 2 3 3" xfId="23091" xr:uid="{3297D9DC-604D-468F-B73A-01D8959ED237}"/>
    <cellStyle name="Note 2 2 3 2 4" xfId="9473" xr:uid="{7711F4E0-385B-44CD-ACEA-5E9D7E4CD8DC}"/>
    <cellStyle name="Note 2 2 3 2 5" xfId="10427" xr:uid="{5F64E8F4-16C8-41DE-B040-FE11174F4253}"/>
    <cellStyle name="Note 2 2 3 2 6" xfId="18874" xr:uid="{2E850BAF-7157-49AF-8CE0-F51FF1A67028}"/>
    <cellStyle name="Note 2 2 3 3" xfId="1424" xr:uid="{00000000-0005-0000-0000-0000C8200000}"/>
    <cellStyle name="Note 2 2 3 3 2" xfId="3654" xr:uid="{00000000-0005-0000-0000-0000C9200000}"/>
    <cellStyle name="Note 2 2 3 3 2 2" xfId="7876" xr:uid="{00000000-0005-0000-0000-0000CA200000}"/>
    <cellStyle name="Note 2 2 3 3 2 2 2" xfId="17202" xr:uid="{57007FF7-E02E-4CCE-AB41-52CA793CDCCE}"/>
    <cellStyle name="Note 2 2 3 3 2 2 3" xfId="25649" xr:uid="{BECA0D45-F27B-4506-9352-7EC2456A77B4}"/>
    <cellStyle name="Note 2 2 3 3 2 3" xfId="12985" xr:uid="{E5B4412F-6B08-47FC-9D13-290FEF005FF9}"/>
    <cellStyle name="Note 2 2 3 3 2 4" xfId="21432" xr:uid="{B8DB418C-0F6B-42AB-9A01-A71AB2C1221E}"/>
    <cellStyle name="Note 2 2 3 3 3" xfId="5731" xr:uid="{00000000-0005-0000-0000-0000CB200000}"/>
    <cellStyle name="Note 2 2 3 3 3 2" xfId="15057" xr:uid="{6BD15BA5-1C02-449D-8AF9-2DB2D1CB22BD}"/>
    <cellStyle name="Note 2 2 3 3 3 3" xfId="23504" xr:uid="{D929154F-E2D0-4B12-9C17-08ADB3E5E5B2}"/>
    <cellStyle name="Note 2 2 3 3 4" xfId="10840" xr:uid="{1BBF99C3-A043-4FDB-BEDE-F1E68DEADFED}"/>
    <cellStyle name="Note 2 2 3 3 5" xfId="19287" xr:uid="{C8F48614-8791-438D-98FC-B10D925EC4CA}"/>
    <cellStyle name="Note 2 2 3 4" xfId="1838" xr:uid="{00000000-0005-0000-0000-0000CC200000}"/>
    <cellStyle name="Note 2 2 3 4 2" xfId="4067" xr:uid="{00000000-0005-0000-0000-0000CD200000}"/>
    <cellStyle name="Note 2 2 3 4 2 2" xfId="8289" xr:uid="{00000000-0005-0000-0000-0000CE200000}"/>
    <cellStyle name="Note 2 2 3 4 2 2 2" xfId="17615" xr:uid="{6CAFD30C-37C0-4475-AE71-5E050F3EB071}"/>
    <cellStyle name="Note 2 2 3 4 2 2 3" xfId="26062" xr:uid="{0F978173-882F-4564-ABAA-EA51EB364DEA}"/>
    <cellStyle name="Note 2 2 3 4 2 3" xfId="13398" xr:uid="{BB2A5F12-2D8E-4162-B109-BC435DF15350}"/>
    <cellStyle name="Note 2 2 3 4 2 4" xfId="21845" xr:uid="{15237241-70B1-423C-93CE-002EDA12DE2D}"/>
    <cellStyle name="Note 2 2 3 4 3" xfId="6144" xr:uid="{00000000-0005-0000-0000-0000CF200000}"/>
    <cellStyle name="Note 2 2 3 4 3 2" xfId="15470" xr:uid="{508DAB56-4D51-46CA-A188-D40151834736}"/>
    <cellStyle name="Note 2 2 3 4 3 3" xfId="23917" xr:uid="{C9EF1F12-A7E5-418F-A385-560E84751C90}"/>
    <cellStyle name="Note 2 2 3 4 4" xfId="11253" xr:uid="{D6C4BBF2-0010-4FCC-802F-20F3F8BBC953}"/>
    <cellStyle name="Note 2 2 3 4 5" xfId="19700" xr:uid="{B4D68D64-385F-4B85-8F9C-11FA1585382C}"/>
    <cellStyle name="Note 2 2 3 5" xfId="2251" xr:uid="{00000000-0005-0000-0000-0000D0200000}"/>
    <cellStyle name="Note 2 2 3 5 2" xfId="4480" xr:uid="{00000000-0005-0000-0000-0000D1200000}"/>
    <cellStyle name="Note 2 2 3 5 2 2" xfId="8702" xr:uid="{00000000-0005-0000-0000-0000D2200000}"/>
    <cellStyle name="Note 2 2 3 5 2 2 2" xfId="18028" xr:uid="{39EFDDAA-FFF2-4242-87D4-4AE9AA9076E2}"/>
    <cellStyle name="Note 2 2 3 5 2 2 3" xfId="26475" xr:uid="{2D39397E-DB59-4B06-9EB3-610CE5C31936}"/>
    <cellStyle name="Note 2 2 3 5 2 3" xfId="13811" xr:uid="{111A73EE-CB95-44B2-8046-E94DBF1F05C6}"/>
    <cellStyle name="Note 2 2 3 5 2 4" xfId="22258" xr:uid="{825A9D38-00DB-426C-8DEC-F5348B5BF610}"/>
    <cellStyle name="Note 2 2 3 5 3" xfId="6557" xr:uid="{00000000-0005-0000-0000-0000D3200000}"/>
    <cellStyle name="Note 2 2 3 5 3 2" xfId="15883" xr:uid="{BF6AC054-B41B-40D2-87F2-468784EE46ED}"/>
    <cellStyle name="Note 2 2 3 5 3 3" xfId="24330" xr:uid="{A82A7BAC-0AEC-478B-AA6E-92DCCD7E7E4F}"/>
    <cellStyle name="Note 2 2 3 5 4" xfId="11666" xr:uid="{5DDBFAB9-05AC-47A8-9A40-04061AFE85C8}"/>
    <cellStyle name="Note 2 2 3 5 5" xfId="20113" xr:uid="{8A3B3E29-8800-42BA-9E91-40A40A448EB6}"/>
    <cellStyle name="Note 2 2 3 6" xfId="2687" xr:uid="{00000000-0005-0000-0000-0000D4200000}"/>
    <cellStyle name="Note 2 2 3 6 2" xfId="6970" xr:uid="{00000000-0005-0000-0000-0000D5200000}"/>
    <cellStyle name="Note 2 2 3 6 2 2" xfId="16296" xr:uid="{5AFE560D-423C-4CC9-8411-9C7C12C0FAEE}"/>
    <cellStyle name="Note 2 2 3 6 2 3" xfId="24743" xr:uid="{35BB9B0F-A61F-4B56-8FE5-BC72DBB55CE1}"/>
    <cellStyle name="Note 2 2 3 6 3" xfId="12079" xr:uid="{6ACF5886-A963-4CAA-948B-E37E79D0FAC5}"/>
    <cellStyle name="Note 2 2 3 6 4" xfId="20526" xr:uid="{9E6B62FE-97C2-4233-93D2-0B73ECF6E794}"/>
    <cellStyle name="Note 2 2 3 7" xfId="2746" xr:uid="{00000000-0005-0000-0000-0000D6200000}"/>
    <cellStyle name="Note 2 2 3 8" xfId="2827" xr:uid="{00000000-0005-0000-0000-0000D7200000}"/>
    <cellStyle name="Note 2 2 3 8 2" xfId="7050" xr:uid="{00000000-0005-0000-0000-0000D8200000}"/>
    <cellStyle name="Note 2 2 3 8 2 2" xfId="16376" xr:uid="{9537B868-4343-4EFD-9C27-81D2ED007F10}"/>
    <cellStyle name="Note 2 2 3 8 2 3" xfId="24823" xr:uid="{CF453363-320B-4A71-A210-858E0D57D686}"/>
    <cellStyle name="Note 2 2 3 8 3" xfId="12159" xr:uid="{01686751-6E47-4299-BC9B-B4854C24F36E}"/>
    <cellStyle name="Note 2 2 3 8 4" xfId="20606" xr:uid="{111607FE-0541-49B0-B7FB-CC670B0FF19E}"/>
    <cellStyle name="Note 2 2 3 9" xfId="4905" xr:uid="{00000000-0005-0000-0000-0000D9200000}"/>
    <cellStyle name="Note 2 2 3 9 2" xfId="14231" xr:uid="{76906E05-94D2-4712-A6A9-26DBE3B265FA}"/>
    <cellStyle name="Note 2 2 3 9 3" xfId="22678" xr:uid="{6DB4C086-721C-4A20-A27F-F9C9B99BE534}"/>
    <cellStyle name="Note 2 2 4" xfId="1006" xr:uid="{00000000-0005-0000-0000-0000DA200000}"/>
    <cellStyle name="Note 2 2 4 2" xfId="3238" xr:uid="{00000000-0005-0000-0000-0000DB200000}"/>
    <cellStyle name="Note 2 2 4 2 2" xfId="7460" xr:uid="{00000000-0005-0000-0000-0000DC200000}"/>
    <cellStyle name="Note 2 2 4 2 2 2" xfId="16786" xr:uid="{8427D5B9-48E3-40F3-AD79-BD333ADE0C3C}"/>
    <cellStyle name="Note 2 2 4 2 2 3" xfId="25233" xr:uid="{03EAAA22-81A9-40B5-908A-D7327890AE89}"/>
    <cellStyle name="Note 2 2 4 2 3" xfId="12569" xr:uid="{E06C7673-044C-49D8-99B2-EA15D5108D43}"/>
    <cellStyle name="Note 2 2 4 2 4" xfId="21016" xr:uid="{C1879F20-B75F-4663-8EF6-C8E9305E7756}"/>
    <cellStyle name="Note 2 2 4 3" xfId="5315" xr:uid="{00000000-0005-0000-0000-0000DD200000}"/>
    <cellStyle name="Note 2 2 4 3 2" xfId="14641" xr:uid="{5FF62BF2-1465-4CFD-A163-21B480678269}"/>
    <cellStyle name="Note 2 2 4 3 3" xfId="23088" xr:uid="{D1C2F897-DF69-4980-B093-B56B8CB457FA}"/>
    <cellStyle name="Note 2 2 4 4" xfId="9266" xr:uid="{8B6F7B8D-50FA-47DA-836F-17B0F9492E54}"/>
    <cellStyle name="Note 2 2 4 5" xfId="10424" xr:uid="{71C39D52-E689-46C2-8CAC-82CAFE33B5EE}"/>
    <cellStyle name="Note 2 2 4 6" xfId="18871" xr:uid="{ACC773EB-8DE1-42C5-BE9F-1589BCDC7419}"/>
    <cellStyle name="Note 2 2 5" xfId="1421" xr:uid="{00000000-0005-0000-0000-0000DE200000}"/>
    <cellStyle name="Note 2 2 5 2" xfId="3651" xr:uid="{00000000-0005-0000-0000-0000DF200000}"/>
    <cellStyle name="Note 2 2 5 2 2" xfId="7873" xr:uid="{00000000-0005-0000-0000-0000E0200000}"/>
    <cellStyle name="Note 2 2 5 2 2 2" xfId="17199" xr:uid="{D9084FA0-0945-476B-8552-4CAFA6B5784A}"/>
    <cellStyle name="Note 2 2 5 2 2 3" xfId="25646" xr:uid="{8ACD9910-EF1F-49A3-9A53-D2DAD6B43AD9}"/>
    <cellStyle name="Note 2 2 5 2 3" xfId="12982" xr:uid="{1F79636E-C4AC-4900-AA7C-B991171DDA52}"/>
    <cellStyle name="Note 2 2 5 2 4" xfId="21429" xr:uid="{21CD779E-24BA-4F31-A4D5-70AA6E94FDC2}"/>
    <cellStyle name="Note 2 2 5 3" xfId="5728" xr:uid="{00000000-0005-0000-0000-0000E1200000}"/>
    <cellStyle name="Note 2 2 5 3 2" xfId="15054" xr:uid="{5C570C8E-AB7B-4A40-82E5-54045D8335AD}"/>
    <cellStyle name="Note 2 2 5 3 3" xfId="23501" xr:uid="{EF5DA7E3-F602-4106-93A1-5DB85BEFA7E9}"/>
    <cellStyle name="Note 2 2 5 4" xfId="10837" xr:uid="{6AEE8CC2-C30C-4AE6-BAA6-6D943D73C133}"/>
    <cellStyle name="Note 2 2 5 5" xfId="19284" xr:uid="{3918997E-06FB-4CD9-AF09-B5F8F99741A1}"/>
    <cellStyle name="Note 2 2 6" xfId="1835" xr:uid="{00000000-0005-0000-0000-0000E2200000}"/>
    <cellStyle name="Note 2 2 6 2" xfId="4064" xr:uid="{00000000-0005-0000-0000-0000E3200000}"/>
    <cellStyle name="Note 2 2 6 2 2" xfId="8286" xr:uid="{00000000-0005-0000-0000-0000E4200000}"/>
    <cellStyle name="Note 2 2 6 2 2 2" xfId="17612" xr:uid="{F933AE0F-BA0B-4879-BAFD-291C641E57F7}"/>
    <cellStyle name="Note 2 2 6 2 2 3" xfId="26059" xr:uid="{DA228BA6-70DA-4B2B-83F4-A60B3BC3282A}"/>
    <cellStyle name="Note 2 2 6 2 3" xfId="13395" xr:uid="{9F4407B9-AD1B-4CF6-A140-4A1ABF9AB88B}"/>
    <cellStyle name="Note 2 2 6 2 4" xfId="21842" xr:uid="{EE58EC4F-5E02-4D10-B4EB-4AFE3F2ED061}"/>
    <cellStyle name="Note 2 2 6 3" xfId="6141" xr:uid="{00000000-0005-0000-0000-0000E5200000}"/>
    <cellStyle name="Note 2 2 6 3 2" xfId="15467" xr:uid="{4C6A9D81-F937-420E-8D22-FEB83118533E}"/>
    <cellStyle name="Note 2 2 6 3 3" xfId="23914" xr:uid="{42C95C55-2AA7-44EB-80ED-6D45483B0199}"/>
    <cellStyle name="Note 2 2 6 4" xfId="11250" xr:uid="{D7BA39D4-4555-497A-A2BD-D7C866FEFC4F}"/>
    <cellStyle name="Note 2 2 6 5" xfId="19697" xr:uid="{09814151-06D4-490E-B7DF-2154550711E7}"/>
    <cellStyle name="Note 2 2 7" xfId="2248" xr:uid="{00000000-0005-0000-0000-0000E6200000}"/>
    <cellStyle name="Note 2 2 7 2" xfId="4477" xr:uid="{00000000-0005-0000-0000-0000E7200000}"/>
    <cellStyle name="Note 2 2 7 2 2" xfId="8699" xr:uid="{00000000-0005-0000-0000-0000E8200000}"/>
    <cellStyle name="Note 2 2 7 2 2 2" xfId="18025" xr:uid="{25DA9AD0-7F42-4243-BDB9-707E42DDA504}"/>
    <cellStyle name="Note 2 2 7 2 2 3" xfId="26472" xr:uid="{78121ABC-64E5-4EBE-AD35-AD7231E18307}"/>
    <cellStyle name="Note 2 2 7 2 3" xfId="13808" xr:uid="{D9EFD464-72B9-4485-BD6B-CC913C9FAEC6}"/>
    <cellStyle name="Note 2 2 7 2 4" xfId="22255" xr:uid="{508A4A35-B978-4BB3-B2CC-7A334133420F}"/>
    <cellStyle name="Note 2 2 7 3" xfId="6554" xr:uid="{00000000-0005-0000-0000-0000E9200000}"/>
    <cellStyle name="Note 2 2 7 3 2" xfId="15880" xr:uid="{9EE5BD0E-4D2E-4282-9F7C-5D609CCF9749}"/>
    <cellStyle name="Note 2 2 7 3 3" xfId="24327" xr:uid="{87D060B7-8BE5-4ADA-A8A1-B82617345AFF}"/>
    <cellStyle name="Note 2 2 7 4" xfId="11663" xr:uid="{35BB4A99-D7CA-42FE-BE0C-C14ACEAAA07E}"/>
    <cellStyle name="Note 2 2 7 5" xfId="20110" xr:uid="{32B797CB-FB1F-4CA6-99F5-159C75F05BC5}"/>
    <cellStyle name="Note 2 2 8" xfId="2684" xr:uid="{00000000-0005-0000-0000-0000EA200000}"/>
    <cellStyle name="Note 2 2 8 2" xfId="6967" xr:uid="{00000000-0005-0000-0000-0000EB200000}"/>
    <cellStyle name="Note 2 2 8 2 2" xfId="16293" xr:uid="{03AAD214-980D-4546-802C-4A16CF9621F7}"/>
    <cellStyle name="Note 2 2 8 2 3" xfId="24740" xr:uid="{AEA3407A-339D-4BC4-8EF7-BF35EEFD1DED}"/>
    <cellStyle name="Note 2 2 8 3" xfId="12076" xr:uid="{A0DF013C-F553-44E7-8A75-E8CB5E628FA9}"/>
    <cellStyle name="Note 2 2 8 4" xfId="20523" xr:uid="{C3351FBF-7C17-42D2-8ACE-61813C16F473}"/>
    <cellStyle name="Note 2 2 9" xfId="2743" xr:uid="{00000000-0005-0000-0000-0000EC200000}"/>
    <cellStyle name="Note 2 3" xfId="549" xr:uid="{00000000-0005-0000-0000-0000ED200000}"/>
    <cellStyle name="Note 2 3 10" xfId="4906" xr:uid="{00000000-0005-0000-0000-0000EE200000}"/>
    <cellStyle name="Note 2 3 10 2" xfId="14232" xr:uid="{F5FB7036-D5A6-403F-A7AE-EAF0A118EB45}"/>
    <cellStyle name="Note 2 3 10 3" xfId="22679" xr:uid="{63AD8B2B-B916-41E5-953C-EC7F4AA33671}"/>
    <cellStyle name="Note 2 3 11" xfId="8894" xr:uid="{2BFFE8D0-DA42-4876-8895-58F80713E965}"/>
    <cellStyle name="Note 2 3 12" xfId="10015" xr:uid="{6DCC05C7-D02F-4F4F-9073-E1523A38066E}"/>
    <cellStyle name="Note 2 3 13" xfId="18462" xr:uid="{88640D14-0757-4C72-94A4-C85BDF4C18C6}"/>
    <cellStyle name="Note 2 3 2" xfId="550" xr:uid="{00000000-0005-0000-0000-0000EF200000}"/>
    <cellStyle name="Note 2 3 2 10" xfId="9101" xr:uid="{1822EEA2-225E-465E-B4CD-D4615440EC62}"/>
    <cellStyle name="Note 2 3 2 11" xfId="10016" xr:uid="{9A2848FF-D851-419C-9FDC-075600221084}"/>
    <cellStyle name="Note 2 3 2 12" xfId="18463" xr:uid="{378692D9-257D-42FF-AF9E-C0BA6BDF8A04}"/>
    <cellStyle name="Note 2 3 2 2" xfId="1011" xr:uid="{00000000-0005-0000-0000-0000F0200000}"/>
    <cellStyle name="Note 2 3 2 2 2" xfId="3243" xr:uid="{00000000-0005-0000-0000-0000F1200000}"/>
    <cellStyle name="Note 2 3 2 2 2 2" xfId="7465" xr:uid="{00000000-0005-0000-0000-0000F2200000}"/>
    <cellStyle name="Note 2 3 2 2 2 2 2" xfId="16791" xr:uid="{5AE30DA2-0B43-4ADA-9A4E-7ECFC8A64C5E}"/>
    <cellStyle name="Note 2 3 2 2 2 2 3" xfId="25238" xr:uid="{370511C2-D267-478D-9B2F-FB656E0E29C2}"/>
    <cellStyle name="Note 2 3 2 2 2 3" xfId="12574" xr:uid="{45BC36CA-D16B-4612-8DB6-DB098FC2CB55}"/>
    <cellStyle name="Note 2 3 2 2 2 4" xfId="21021" xr:uid="{1714AA4E-1BF1-4992-853D-28429B65A897}"/>
    <cellStyle name="Note 2 3 2 2 3" xfId="5320" xr:uid="{00000000-0005-0000-0000-0000F3200000}"/>
    <cellStyle name="Note 2 3 2 2 3 2" xfId="14646" xr:uid="{0DF2D2A8-82F3-479E-B69F-61B57CAFA050}"/>
    <cellStyle name="Note 2 3 2 2 3 3" xfId="23093" xr:uid="{3ACD6BB8-4882-4A09-933B-7C22189F7B0B}"/>
    <cellStyle name="Note 2 3 2 2 4" xfId="9526" xr:uid="{1C428179-0C82-4F5D-9FE4-E11D597F9E89}"/>
    <cellStyle name="Note 2 3 2 2 5" xfId="10429" xr:uid="{58D57FAF-B51E-4EA3-BFAE-A801BCDEE57D}"/>
    <cellStyle name="Note 2 3 2 2 6" xfId="18876" xr:uid="{48806D85-807C-4C1A-A490-CAE07DB53C68}"/>
    <cellStyle name="Note 2 3 2 3" xfId="1426" xr:uid="{00000000-0005-0000-0000-0000F4200000}"/>
    <cellStyle name="Note 2 3 2 3 2" xfId="3656" xr:uid="{00000000-0005-0000-0000-0000F5200000}"/>
    <cellStyle name="Note 2 3 2 3 2 2" xfId="7878" xr:uid="{00000000-0005-0000-0000-0000F6200000}"/>
    <cellStyle name="Note 2 3 2 3 2 2 2" xfId="17204" xr:uid="{AF1FEF62-1371-4BEF-A9A5-22E0312BC8D0}"/>
    <cellStyle name="Note 2 3 2 3 2 2 3" xfId="25651" xr:uid="{1541CBC9-A0C3-4108-9572-148D51CBC1D8}"/>
    <cellStyle name="Note 2 3 2 3 2 3" xfId="12987" xr:uid="{E9B501EB-291D-467E-A7F3-7BF584BB8A8D}"/>
    <cellStyle name="Note 2 3 2 3 2 4" xfId="21434" xr:uid="{08047A8A-01ED-4E63-879A-269B0BB8B8A5}"/>
    <cellStyle name="Note 2 3 2 3 3" xfId="5733" xr:uid="{00000000-0005-0000-0000-0000F7200000}"/>
    <cellStyle name="Note 2 3 2 3 3 2" xfId="15059" xr:uid="{76F589EB-BBDE-495D-9536-256BE9E4EA6A}"/>
    <cellStyle name="Note 2 3 2 3 3 3" xfId="23506" xr:uid="{21D61D2E-F18B-4454-A39A-37A0DCAC1516}"/>
    <cellStyle name="Note 2 3 2 3 4" xfId="10842" xr:uid="{DBD94692-8A7E-40E3-981C-5C4090273E2D}"/>
    <cellStyle name="Note 2 3 2 3 5" xfId="19289" xr:uid="{620812EE-3980-436A-89BB-48B312907992}"/>
    <cellStyle name="Note 2 3 2 4" xfId="1840" xr:uid="{00000000-0005-0000-0000-0000F8200000}"/>
    <cellStyle name="Note 2 3 2 4 2" xfId="4069" xr:uid="{00000000-0005-0000-0000-0000F9200000}"/>
    <cellStyle name="Note 2 3 2 4 2 2" xfId="8291" xr:uid="{00000000-0005-0000-0000-0000FA200000}"/>
    <cellStyle name="Note 2 3 2 4 2 2 2" xfId="17617" xr:uid="{840D35E5-838F-43A1-A545-0028CF64F8FC}"/>
    <cellStyle name="Note 2 3 2 4 2 2 3" xfId="26064" xr:uid="{21B8DDE8-4F92-48C4-989E-672389D57281}"/>
    <cellStyle name="Note 2 3 2 4 2 3" xfId="13400" xr:uid="{59301B7B-A919-4662-B399-D6E47BCF994C}"/>
    <cellStyle name="Note 2 3 2 4 2 4" xfId="21847" xr:uid="{139F144E-E5FF-419B-ABAC-2E61C77A02EC}"/>
    <cellStyle name="Note 2 3 2 4 3" xfId="6146" xr:uid="{00000000-0005-0000-0000-0000FB200000}"/>
    <cellStyle name="Note 2 3 2 4 3 2" xfId="15472" xr:uid="{EA1989AA-7FD6-4D8B-93A5-7159FAC93403}"/>
    <cellStyle name="Note 2 3 2 4 3 3" xfId="23919" xr:uid="{CB76F0FC-FBF9-45BC-93E7-A0F62C19B02D}"/>
    <cellStyle name="Note 2 3 2 4 4" xfId="11255" xr:uid="{5C43A7E2-0C27-48B6-AE0B-B6491030C5D4}"/>
    <cellStyle name="Note 2 3 2 4 5" xfId="19702" xr:uid="{CBEFFD4E-22C4-4184-8F4E-918FA01B941A}"/>
    <cellStyle name="Note 2 3 2 5" xfId="2253" xr:uid="{00000000-0005-0000-0000-0000FC200000}"/>
    <cellStyle name="Note 2 3 2 5 2" xfId="4482" xr:uid="{00000000-0005-0000-0000-0000FD200000}"/>
    <cellStyle name="Note 2 3 2 5 2 2" xfId="8704" xr:uid="{00000000-0005-0000-0000-0000FE200000}"/>
    <cellStyle name="Note 2 3 2 5 2 2 2" xfId="18030" xr:uid="{751F2AA2-42EB-4367-B3F5-B3A41D83EE2F}"/>
    <cellStyle name="Note 2 3 2 5 2 2 3" xfId="26477" xr:uid="{0A44B26D-EA2D-40AE-A753-FE890888B196}"/>
    <cellStyle name="Note 2 3 2 5 2 3" xfId="13813" xr:uid="{759CFE28-AF6A-4361-9526-B24FCA1BE4DE}"/>
    <cellStyle name="Note 2 3 2 5 2 4" xfId="22260" xr:uid="{4A192F59-0A62-4D07-909B-410222F36D56}"/>
    <cellStyle name="Note 2 3 2 5 3" xfId="6559" xr:uid="{00000000-0005-0000-0000-0000FF200000}"/>
    <cellStyle name="Note 2 3 2 5 3 2" xfId="15885" xr:uid="{AA29829C-83C6-466D-B8B6-21FABB2F86C5}"/>
    <cellStyle name="Note 2 3 2 5 3 3" xfId="24332" xr:uid="{020B29D8-8036-4931-B41E-9F50EB8B1F28}"/>
    <cellStyle name="Note 2 3 2 5 4" xfId="11668" xr:uid="{F317D4F2-8382-4481-B9D1-1A47F8EEEC26}"/>
    <cellStyle name="Note 2 3 2 5 5" xfId="20115" xr:uid="{77684957-F7F0-41E1-9D55-9F40A19D5CB8}"/>
    <cellStyle name="Note 2 3 2 6" xfId="2689" xr:uid="{00000000-0005-0000-0000-000000210000}"/>
    <cellStyle name="Note 2 3 2 6 2" xfId="6972" xr:uid="{00000000-0005-0000-0000-000001210000}"/>
    <cellStyle name="Note 2 3 2 6 2 2" xfId="16298" xr:uid="{90AC7C10-C39B-433B-A122-D92AA974692A}"/>
    <cellStyle name="Note 2 3 2 6 2 3" xfId="24745" xr:uid="{978833EA-47BC-47D5-9FBE-87C704CB8CF6}"/>
    <cellStyle name="Note 2 3 2 6 3" xfId="12081" xr:uid="{C4A8B82F-5146-4D8E-8301-AE213214E492}"/>
    <cellStyle name="Note 2 3 2 6 4" xfId="20528" xr:uid="{F4978885-CB11-4BB2-A5C1-5295B5D95F0C}"/>
    <cellStyle name="Note 2 3 2 7" xfId="2748" xr:uid="{00000000-0005-0000-0000-000002210000}"/>
    <cellStyle name="Note 2 3 2 8" xfId="2829" xr:uid="{00000000-0005-0000-0000-000003210000}"/>
    <cellStyle name="Note 2 3 2 8 2" xfId="7052" xr:uid="{00000000-0005-0000-0000-000004210000}"/>
    <cellStyle name="Note 2 3 2 8 2 2" xfId="16378" xr:uid="{9022F678-2388-4BB7-9C2B-3CBFBA2AA558}"/>
    <cellStyle name="Note 2 3 2 8 2 3" xfId="24825" xr:uid="{2F7DD0A3-54CF-448B-8C4F-A90F1EC1E184}"/>
    <cellStyle name="Note 2 3 2 8 3" xfId="12161" xr:uid="{60A6286B-62C9-4664-A153-724EF091FFF0}"/>
    <cellStyle name="Note 2 3 2 8 4" xfId="20608" xr:uid="{D30FC2DB-BDB2-4677-BD36-25D6AE167A4A}"/>
    <cellStyle name="Note 2 3 2 9" xfId="4907" xr:uid="{00000000-0005-0000-0000-000005210000}"/>
    <cellStyle name="Note 2 3 2 9 2" xfId="14233" xr:uid="{6F7C8FF0-F7FD-420A-A8A3-B5718BFC6BAA}"/>
    <cellStyle name="Note 2 3 2 9 3" xfId="22680" xr:uid="{67346F12-042E-4A8C-ACE8-1B64E7088C8F}"/>
    <cellStyle name="Note 2 3 3" xfId="1010" xr:uid="{00000000-0005-0000-0000-000006210000}"/>
    <cellStyle name="Note 2 3 3 2" xfId="3242" xr:uid="{00000000-0005-0000-0000-000007210000}"/>
    <cellStyle name="Note 2 3 3 2 2" xfId="7464" xr:uid="{00000000-0005-0000-0000-000008210000}"/>
    <cellStyle name="Note 2 3 3 2 2 2" xfId="16790" xr:uid="{6AE5367D-A702-42EF-B6C1-956F53A40535}"/>
    <cellStyle name="Note 2 3 3 2 2 3" xfId="25237" xr:uid="{B11FE098-B728-4FB6-8A95-B13BB5EC7153}"/>
    <cellStyle name="Note 2 3 3 2 3" xfId="12573" xr:uid="{4027AF2F-CAD7-4476-901D-3B6C49E54C87}"/>
    <cellStyle name="Note 2 3 3 2 4" xfId="21020" xr:uid="{C8107FEF-2BFB-4FB1-B068-D65A39D7ABA7}"/>
    <cellStyle name="Note 2 3 3 3" xfId="5319" xr:uid="{00000000-0005-0000-0000-000009210000}"/>
    <cellStyle name="Note 2 3 3 3 2" xfId="14645" xr:uid="{9F4B5E7B-754E-4ABD-A0B5-C019C3737D0F}"/>
    <cellStyle name="Note 2 3 3 3 3" xfId="23092" xr:uid="{C98FB32C-4364-4166-A2A4-7295C7EC07D7}"/>
    <cellStyle name="Note 2 3 3 4" xfId="9319" xr:uid="{06E4A3C6-5CAA-4424-B4C3-41162F21AE7D}"/>
    <cellStyle name="Note 2 3 3 5" xfId="10428" xr:uid="{56C88FD2-3D4E-4E09-850C-2B73A879B757}"/>
    <cellStyle name="Note 2 3 3 6" xfId="18875" xr:uid="{F5143ADF-B679-4353-ACB0-3B458E82B549}"/>
    <cellStyle name="Note 2 3 4" xfId="1425" xr:uid="{00000000-0005-0000-0000-00000A210000}"/>
    <cellStyle name="Note 2 3 4 2" xfId="3655" xr:uid="{00000000-0005-0000-0000-00000B210000}"/>
    <cellStyle name="Note 2 3 4 2 2" xfId="7877" xr:uid="{00000000-0005-0000-0000-00000C210000}"/>
    <cellStyle name="Note 2 3 4 2 2 2" xfId="17203" xr:uid="{D5071250-1A9F-4C3F-90CA-D0EAE4F7EBFA}"/>
    <cellStyle name="Note 2 3 4 2 2 3" xfId="25650" xr:uid="{287BF104-61EE-491D-8AF9-C3EE71630B2C}"/>
    <cellStyle name="Note 2 3 4 2 3" xfId="12986" xr:uid="{CBBE4D7B-AA1B-44C8-98CD-AE3942F3A910}"/>
    <cellStyle name="Note 2 3 4 2 4" xfId="21433" xr:uid="{7E6C146C-BCA2-4F84-8AD9-B89C429E3900}"/>
    <cellStyle name="Note 2 3 4 3" xfId="5732" xr:uid="{00000000-0005-0000-0000-00000D210000}"/>
    <cellStyle name="Note 2 3 4 3 2" xfId="15058" xr:uid="{4F7AB34B-1D53-4D94-9ED6-02BD53736405}"/>
    <cellStyle name="Note 2 3 4 3 3" xfId="23505" xr:uid="{26194FE3-12BF-4FC1-B81C-019D8B5E8908}"/>
    <cellStyle name="Note 2 3 4 4" xfId="10841" xr:uid="{EBDCB75A-BAED-4A7B-A161-4A2E8A7C9552}"/>
    <cellStyle name="Note 2 3 4 5" xfId="19288" xr:uid="{971E48DC-4E1B-41BE-8559-5F5AC7329B4C}"/>
    <cellStyle name="Note 2 3 5" xfId="1839" xr:uid="{00000000-0005-0000-0000-00000E210000}"/>
    <cellStyle name="Note 2 3 5 2" xfId="4068" xr:uid="{00000000-0005-0000-0000-00000F210000}"/>
    <cellStyle name="Note 2 3 5 2 2" xfId="8290" xr:uid="{00000000-0005-0000-0000-000010210000}"/>
    <cellStyle name="Note 2 3 5 2 2 2" xfId="17616" xr:uid="{DEE5770D-91E2-46D7-873D-824141F2DF4C}"/>
    <cellStyle name="Note 2 3 5 2 2 3" xfId="26063" xr:uid="{8FD23728-D7F5-43B7-AE42-936D91D35375}"/>
    <cellStyle name="Note 2 3 5 2 3" xfId="13399" xr:uid="{2D7F0D93-8D5D-4713-8390-50E3F5EECDA4}"/>
    <cellStyle name="Note 2 3 5 2 4" xfId="21846" xr:uid="{57DD4B4B-B552-482D-9A5F-AD434D028111}"/>
    <cellStyle name="Note 2 3 5 3" xfId="6145" xr:uid="{00000000-0005-0000-0000-000011210000}"/>
    <cellStyle name="Note 2 3 5 3 2" xfId="15471" xr:uid="{589E14D4-F77A-432D-948A-E522D1EAE093}"/>
    <cellStyle name="Note 2 3 5 3 3" xfId="23918" xr:uid="{43C2180E-5B16-40B8-9D77-7662AF463923}"/>
    <cellStyle name="Note 2 3 5 4" xfId="11254" xr:uid="{8F34F110-6B57-4393-B179-91E3FCDD8380}"/>
    <cellStyle name="Note 2 3 5 5" xfId="19701" xr:uid="{582BFB7B-B054-4B44-ADCE-3D3A150CB8ED}"/>
    <cellStyle name="Note 2 3 6" xfId="2252" xr:uid="{00000000-0005-0000-0000-000012210000}"/>
    <cellStyle name="Note 2 3 6 2" xfId="4481" xr:uid="{00000000-0005-0000-0000-000013210000}"/>
    <cellStyle name="Note 2 3 6 2 2" xfId="8703" xr:uid="{00000000-0005-0000-0000-000014210000}"/>
    <cellStyle name="Note 2 3 6 2 2 2" xfId="18029" xr:uid="{9BEFC57B-DCAF-4994-ACFE-14BE4C5B98EC}"/>
    <cellStyle name="Note 2 3 6 2 2 3" xfId="26476" xr:uid="{161BF48C-E993-47AD-8D6F-EF1946867BDD}"/>
    <cellStyle name="Note 2 3 6 2 3" xfId="13812" xr:uid="{22AFC998-7E68-469F-8D57-C2EB24006689}"/>
    <cellStyle name="Note 2 3 6 2 4" xfId="22259" xr:uid="{23E22615-58CA-41B0-9960-8D624892E5EC}"/>
    <cellStyle name="Note 2 3 6 3" xfId="6558" xr:uid="{00000000-0005-0000-0000-000015210000}"/>
    <cellStyle name="Note 2 3 6 3 2" xfId="15884" xr:uid="{E9588EDD-1F65-4E2E-8D2A-3878B7067A89}"/>
    <cellStyle name="Note 2 3 6 3 3" xfId="24331" xr:uid="{B2077A18-EBE2-4785-9EC3-0863E0609279}"/>
    <cellStyle name="Note 2 3 6 4" xfId="11667" xr:uid="{DD5AECE3-2351-4AA5-970B-798ABA989BCF}"/>
    <cellStyle name="Note 2 3 6 5" xfId="20114" xr:uid="{37463E5A-C4A4-4D93-BF60-1EBBD5670DAE}"/>
    <cellStyle name="Note 2 3 7" xfId="2688" xr:uid="{00000000-0005-0000-0000-000016210000}"/>
    <cellStyle name="Note 2 3 7 2" xfId="6971" xr:uid="{00000000-0005-0000-0000-000017210000}"/>
    <cellStyle name="Note 2 3 7 2 2" xfId="16297" xr:uid="{647E9A81-8C20-4C94-B7E7-9D9764E97171}"/>
    <cellStyle name="Note 2 3 7 2 3" xfId="24744" xr:uid="{E5912AF6-B8AD-4076-BFFC-D9FE0ED63713}"/>
    <cellStyle name="Note 2 3 7 3" xfId="12080" xr:uid="{5590984B-CA89-4DCF-9BC5-444D8A30A4B2}"/>
    <cellStyle name="Note 2 3 7 4" xfId="20527" xr:uid="{89B5F16B-777F-4A09-8796-D3969B7BE779}"/>
    <cellStyle name="Note 2 3 8" xfId="2747" xr:uid="{00000000-0005-0000-0000-000018210000}"/>
    <cellStyle name="Note 2 3 9" xfId="2828" xr:uid="{00000000-0005-0000-0000-000019210000}"/>
    <cellStyle name="Note 2 3 9 2" xfId="7051" xr:uid="{00000000-0005-0000-0000-00001A210000}"/>
    <cellStyle name="Note 2 3 9 2 2" xfId="16377" xr:uid="{7EEB10BC-5352-4B41-8077-BFEF055E5EE4}"/>
    <cellStyle name="Note 2 3 9 2 3" xfId="24824" xr:uid="{20D2B8AD-0A09-468E-89B1-1FF960265F63}"/>
    <cellStyle name="Note 2 3 9 3" xfId="12160" xr:uid="{798C05A4-D950-4058-BCBF-9831420A7F04}"/>
    <cellStyle name="Note 2 3 9 4" xfId="20607" xr:uid="{2D29BB32-20C6-445E-A7EE-2DEB7A870D5E}"/>
    <cellStyle name="Note 2 4" xfId="551" xr:uid="{00000000-0005-0000-0000-00001B210000}"/>
    <cellStyle name="Note 2 4 10" xfId="8998" xr:uid="{AC87C288-14A9-4FB3-A26C-1706964E6651}"/>
    <cellStyle name="Note 2 4 11" xfId="10017" xr:uid="{363756EE-4C8C-4A2C-B0F2-626B97564AC9}"/>
    <cellStyle name="Note 2 4 12" xfId="18464" xr:uid="{D1D20E46-A71B-45C5-8D46-C9617E5A5B6B}"/>
    <cellStyle name="Note 2 4 2" xfId="1012" xr:uid="{00000000-0005-0000-0000-00001C210000}"/>
    <cellStyle name="Note 2 4 2 2" xfId="3244" xr:uid="{00000000-0005-0000-0000-00001D210000}"/>
    <cellStyle name="Note 2 4 2 2 2" xfId="7466" xr:uid="{00000000-0005-0000-0000-00001E210000}"/>
    <cellStyle name="Note 2 4 2 2 2 2" xfId="16792" xr:uid="{512871CA-E449-4908-8865-4C582AE83933}"/>
    <cellStyle name="Note 2 4 2 2 2 3" xfId="25239" xr:uid="{977801E0-567E-4236-A2EF-55724A5AB793}"/>
    <cellStyle name="Note 2 4 2 2 3" xfId="12575" xr:uid="{54F5CCBC-1FFF-463E-A54A-20F2091D8F4A}"/>
    <cellStyle name="Note 2 4 2 2 4" xfId="21022" xr:uid="{DA8F65C6-6D4C-4192-B609-8CC1D11E44A7}"/>
    <cellStyle name="Note 2 4 2 3" xfId="5321" xr:uid="{00000000-0005-0000-0000-00001F210000}"/>
    <cellStyle name="Note 2 4 2 3 2" xfId="14647" xr:uid="{916C60A4-8799-40D1-A69E-7AD08597AA1A}"/>
    <cellStyle name="Note 2 4 2 3 3" xfId="23094" xr:uid="{1DBA01EA-0007-4E66-A4D6-E37519A6F1E0}"/>
    <cellStyle name="Note 2 4 2 4" xfId="9423" xr:uid="{43B93802-BE55-43D9-BEBC-4095E3C1FF74}"/>
    <cellStyle name="Note 2 4 2 5" xfId="10430" xr:uid="{0A06DEE9-697A-4746-AC7B-4BFB16A6D1A7}"/>
    <cellStyle name="Note 2 4 2 6" xfId="18877" xr:uid="{3C89D1E1-777B-4A86-96B8-C4EA60D12269}"/>
    <cellStyle name="Note 2 4 3" xfId="1427" xr:uid="{00000000-0005-0000-0000-000020210000}"/>
    <cellStyle name="Note 2 4 3 2" xfId="3657" xr:uid="{00000000-0005-0000-0000-000021210000}"/>
    <cellStyle name="Note 2 4 3 2 2" xfId="7879" xr:uid="{00000000-0005-0000-0000-000022210000}"/>
    <cellStyle name="Note 2 4 3 2 2 2" xfId="17205" xr:uid="{8E8129E1-3ECB-4C5A-93DC-9A0D5DB18DEE}"/>
    <cellStyle name="Note 2 4 3 2 2 3" xfId="25652" xr:uid="{67A41F45-05F9-40EE-863E-7DA720DE13D7}"/>
    <cellStyle name="Note 2 4 3 2 3" xfId="12988" xr:uid="{51DFB8A0-08F4-4819-B10C-1C58385FBC84}"/>
    <cellStyle name="Note 2 4 3 2 4" xfId="21435" xr:uid="{B643E335-17D6-4877-8397-843A38BF8500}"/>
    <cellStyle name="Note 2 4 3 3" xfId="5734" xr:uid="{00000000-0005-0000-0000-000023210000}"/>
    <cellStyle name="Note 2 4 3 3 2" xfId="15060" xr:uid="{6605284F-DEAB-4D73-B09C-9F266FCBC3DD}"/>
    <cellStyle name="Note 2 4 3 3 3" xfId="23507" xr:uid="{59348B9D-360B-44C5-A9C5-ECED69CEF418}"/>
    <cellStyle name="Note 2 4 3 4" xfId="10843" xr:uid="{3FCCC364-9103-4A77-9802-F61A9AB9CCF1}"/>
    <cellStyle name="Note 2 4 3 5" xfId="19290" xr:uid="{A7BA1C0D-C366-4A65-936C-8F5313DBF85A}"/>
    <cellStyle name="Note 2 4 4" xfId="1841" xr:uid="{00000000-0005-0000-0000-000024210000}"/>
    <cellStyle name="Note 2 4 4 2" xfId="4070" xr:uid="{00000000-0005-0000-0000-000025210000}"/>
    <cellStyle name="Note 2 4 4 2 2" xfId="8292" xr:uid="{00000000-0005-0000-0000-000026210000}"/>
    <cellStyle name="Note 2 4 4 2 2 2" xfId="17618" xr:uid="{6F82E904-DFD9-4A2C-AA74-0CCF6264A4DA}"/>
    <cellStyle name="Note 2 4 4 2 2 3" xfId="26065" xr:uid="{8D2D6C3A-4925-46DF-A98A-341E502C8E23}"/>
    <cellStyle name="Note 2 4 4 2 3" xfId="13401" xr:uid="{24B04543-E760-425F-9E41-DCF21F298160}"/>
    <cellStyle name="Note 2 4 4 2 4" xfId="21848" xr:uid="{95D542A9-B065-4ED3-8D9D-D0267B3AB8A9}"/>
    <cellStyle name="Note 2 4 4 3" xfId="6147" xr:uid="{00000000-0005-0000-0000-000027210000}"/>
    <cellStyle name="Note 2 4 4 3 2" xfId="15473" xr:uid="{813E4105-E8F1-48E4-9976-365A76F42D77}"/>
    <cellStyle name="Note 2 4 4 3 3" xfId="23920" xr:uid="{CE764D8A-F5FC-41AC-8714-D883A276B553}"/>
    <cellStyle name="Note 2 4 4 4" xfId="11256" xr:uid="{EF963AD4-08F4-490E-94FD-1664591E8AE1}"/>
    <cellStyle name="Note 2 4 4 5" xfId="19703" xr:uid="{A37A428C-AAFA-4E77-AC28-19CEA37971D7}"/>
    <cellStyle name="Note 2 4 5" xfId="2254" xr:uid="{00000000-0005-0000-0000-000028210000}"/>
    <cellStyle name="Note 2 4 5 2" xfId="4483" xr:uid="{00000000-0005-0000-0000-000029210000}"/>
    <cellStyle name="Note 2 4 5 2 2" xfId="8705" xr:uid="{00000000-0005-0000-0000-00002A210000}"/>
    <cellStyle name="Note 2 4 5 2 2 2" xfId="18031" xr:uid="{B3924CFC-4688-4493-8FAF-1D4FA8833B33}"/>
    <cellStyle name="Note 2 4 5 2 2 3" xfId="26478" xr:uid="{5885AC88-90FA-4C31-9B83-DCC59A3DBE54}"/>
    <cellStyle name="Note 2 4 5 2 3" xfId="13814" xr:uid="{E5D9858F-5A9E-4DC5-97A9-9A08C3FCB559}"/>
    <cellStyle name="Note 2 4 5 2 4" xfId="22261" xr:uid="{0A9C19A6-ED83-4A59-8BEA-0CC2A1CA48A7}"/>
    <cellStyle name="Note 2 4 5 3" xfId="6560" xr:uid="{00000000-0005-0000-0000-00002B210000}"/>
    <cellStyle name="Note 2 4 5 3 2" xfId="15886" xr:uid="{E17670C3-8D49-4AEC-B9FA-87FA04473476}"/>
    <cellStyle name="Note 2 4 5 3 3" xfId="24333" xr:uid="{A25A8F7C-EBFF-4FE5-8393-1AC9E95CF534}"/>
    <cellStyle name="Note 2 4 5 4" xfId="11669" xr:uid="{5C862269-E459-4281-8319-A126E513FA5A}"/>
    <cellStyle name="Note 2 4 5 5" xfId="20116" xr:uid="{59810567-F63E-4BE9-A622-C5471C29EC43}"/>
    <cellStyle name="Note 2 4 6" xfId="2690" xr:uid="{00000000-0005-0000-0000-00002C210000}"/>
    <cellStyle name="Note 2 4 6 2" xfId="6973" xr:uid="{00000000-0005-0000-0000-00002D210000}"/>
    <cellStyle name="Note 2 4 6 2 2" xfId="16299" xr:uid="{8A0CBE88-9E97-4EEF-A326-7F9ACA9AAE1F}"/>
    <cellStyle name="Note 2 4 6 2 3" xfId="24746" xr:uid="{DAB497E9-3685-4040-9B88-8DDF900E8AB4}"/>
    <cellStyle name="Note 2 4 6 3" xfId="12082" xr:uid="{B695FF42-4AFF-4987-A596-F6941E8FDC2A}"/>
    <cellStyle name="Note 2 4 6 4" xfId="20529" xr:uid="{CA384E41-3859-4147-A91F-A4325214E159}"/>
    <cellStyle name="Note 2 4 7" xfId="2749" xr:uid="{00000000-0005-0000-0000-00002E210000}"/>
    <cellStyle name="Note 2 4 8" xfId="2830" xr:uid="{00000000-0005-0000-0000-00002F210000}"/>
    <cellStyle name="Note 2 4 8 2" xfId="7053" xr:uid="{00000000-0005-0000-0000-000030210000}"/>
    <cellStyle name="Note 2 4 8 2 2" xfId="16379" xr:uid="{53D82E53-954A-4749-A28C-86146A9C1DEE}"/>
    <cellStyle name="Note 2 4 8 2 3" xfId="24826" xr:uid="{D336805D-4E6E-4D0B-8792-345B5C98DDEE}"/>
    <cellStyle name="Note 2 4 8 3" xfId="12162" xr:uid="{36D606E7-C712-4C5C-8FDD-0A71A595FE82}"/>
    <cellStyle name="Note 2 4 8 4" xfId="20609" xr:uid="{4277D164-8A05-4E69-BE34-767E20560464}"/>
    <cellStyle name="Note 2 4 9" xfId="4908" xr:uid="{00000000-0005-0000-0000-000031210000}"/>
    <cellStyle name="Note 2 4 9 2" xfId="14234" xr:uid="{379B6CF3-4374-46D4-A856-2742D7E6AFB8}"/>
    <cellStyle name="Note 2 4 9 3" xfId="22681" xr:uid="{88891BB2-6756-4852-A663-1F783940A01B}"/>
    <cellStyle name="Note 2 5" xfId="552" xr:uid="{00000000-0005-0000-0000-000032210000}"/>
    <cellStyle name="Note 2 5 10" xfId="9215" xr:uid="{69947D86-0683-476F-9E74-96CA08091560}"/>
    <cellStyle name="Note 2 5 11" xfId="10018" xr:uid="{42E5BF2C-B693-4856-BB96-7D12AF34E766}"/>
    <cellStyle name="Note 2 5 12" xfId="18465" xr:uid="{4A8836CA-2E22-45D7-B062-9547F86737C2}"/>
    <cellStyle name="Note 2 5 2" xfId="1013" xr:uid="{00000000-0005-0000-0000-000033210000}"/>
    <cellStyle name="Note 2 5 2 2" xfId="3245" xr:uid="{00000000-0005-0000-0000-000034210000}"/>
    <cellStyle name="Note 2 5 2 2 2" xfId="7467" xr:uid="{00000000-0005-0000-0000-000035210000}"/>
    <cellStyle name="Note 2 5 2 2 2 2" xfId="16793" xr:uid="{69A2845A-0C2D-49E4-967A-49152818823A}"/>
    <cellStyle name="Note 2 5 2 2 2 3" xfId="25240" xr:uid="{A5E8F946-88E5-45C2-A6D7-589D4E61E9F4}"/>
    <cellStyle name="Note 2 5 2 2 3" xfId="12576" xr:uid="{75AF6386-D6C0-4870-B475-230513FBC967}"/>
    <cellStyle name="Note 2 5 2 2 4" xfId="21023" xr:uid="{AF7E8E16-7206-4CDE-AD49-A330B25CFF48}"/>
    <cellStyle name="Note 2 5 2 3" xfId="5322" xr:uid="{00000000-0005-0000-0000-000036210000}"/>
    <cellStyle name="Note 2 5 2 3 2" xfId="14648" xr:uid="{9FAF9BC3-FCB7-4D80-9B9C-BB97B2C24E51}"/>
    <cellStyle name="Note 2 5 2 3 3" xfId="23095" xr:uid="{42181E5B-E683-47D4-A489-07750A861B0E}"/>
    <cellStyle name="Note 2 5 2 4" xfId="9610" xr:uid="{26530D10-1DF8-4FA4-8FC9-4C945AA92A94}"/>
    <cellStyle name="Note 2 5 2 5" xfId="10431" xr:uid="{1DBC481F-B67D-4CB1-97D7-B0440D923B53}"/>
    <cellStyle name="Note 2 5 2 6" xfId="18878" xr:uid="{CD3E8811-1FB0-49E9-9989-38C5CC884FEF}"/>
    <cellStyle name="Note 2 5 3" xfId="1428" xr:uid="{00000000-0005-0000-0000-000037210000}"/>
    <cellStyle name="Note 2 5 3 2" xfId="3658" xr:uid="{00000000-0005-0000-0000-000038210000}"/>
    <cellStyle name="Note 2 5 3 2 2" xfId="7880" xr:uid="{00000000-0005-0000-0000-000039210000}"/>
    <cellStyle name="Note 2 5 3 2 2 2" xfId="17206" xr:uid="{0F0AA0E0-39E1-4F2F-9461-E8D5AF7DD276}"/>
    <cellStyle name="Note 2 5 3 2 2 3" xfId="25653" xr:uid="{6F81F518-AFC2-4145-AC9A-057C51D0195E}"/>
    <cellStyle name="Note 2 5 3 2 3" xfId="12989" xr:uid="{BA4BCF0D-433B-480E-9D3A-E7183557A4DA}"/>
    <cellStyle name="Note 2 5 3 2 4" xfId="21436" xr:uid="{300A2E4F-9493-44A0-9E89-8055251CA511}"/>
    <cellStyle name="Note 2 5 3 3" xfId="5735" xr:uid="{00000000-0005-0000-0000-00003A210000}"/>
    <cellStyle name="Note 2 5 3 3 2" xfId="15061" xr:uid="{A6A70B97-4082-47DF-8D90-B6A9F542C5B4}"/>
    <cellStyle name="Note 2 5 3 3 3" xfId="23508" xr:uid="{5515DF6A-8DE2-4E37-BD90-A487CAFF1535}"/>
    <cellStyle name="Note 2 5 3 4" xfId="10844" xr:uid="{2084D3D5-718E-47C6-A15A-AC484CF58BAE}"/>
    <cellStyle name="Note 2 5 3 5" xfId="19291" xr:uid="{3E89C8B7-67B9-4549-95EC-E6E4DA081A9B}"/>
    <cellStyle name="Note 2 5 4" xfId="1842" xr:uid="{00000000-0005-0000-0000-00003B210000}"/>
    <cellStyle name="Note 2 5 4 2" xfId="4071" xr:uid="{00000000-0005-0000-0000-00003C210000}"/>
    <cellStyle name="Note 2 5 4 2 2" xfId="8293" xr:uid="{00000000-0005-0000-0000-00003D210000}"/>
    <cellStyle name="Note 2 5 4 2 2 2" xfId="17619" xr:uid="{1F6A28A6-5902-43AE-BDF1-9A3B6C7E2FD7}"/>
    <cellStyle name="Note 2 5 4 2 2 3" xfId="26066" xr:uid="{DD82F48D-2B7B-4841-AA1C-1FC31A1B123C}"/>
    <cellStyle name="Note 2 5 4 2 3" xfId="13402" xr:uid="{01832ACB-7479-4915-B62A-5C9C032F6E0B}"/>
    <cellStyle name="Note 2 5 4 2 4" xfId="21849" xr:uid="{64DCF93A-6EE7-4614-BEB3-33B43318C5D7}"/>
    <cellStyle name="Note 2 5 4 3" xfId="6148" xr:uid="{00000000-0005-0000-0000-00003E210000}"/>
    <cellStyle name="Note 2 5 4 3 2" xfId="15474" xr:uid="{69D6B9BA-1413-412D-8634-EAF5896D9419}"/>
    <cellStyle name="Note 2 5 4 3 3" xfId="23921" xr:uid="{0FC1613F-B93E-4B88-8F3D-F1DFD23E67AB}"/>
    <cellStyle name="Note 2 5 4 4" xfId="11257" xr:uid="{F0189F9E-A5EC-4D88-A407-8D0FDC170FEA}"/>
    <cellStyle name="Note 2 5 4 5" xfId="19704" xr:uid="{3B4BED69-C82D-428C-9720-5159D7E867AC}"/>
    <cellStyle name="Note 2 5 5" xfId="2255" xr:uid="{00000000-0005-0000-0000-00003F210000}"/>
    <cellStyle name="Note 2 5 5 2" xfId="4484" xr:uid="{00000000-0005-0000-0000-000040210000}"/>
    <cellStyle name="Note 2 5 5 2 2" xfId="8706" xr:uid="{00000000-0005-0000-0000-000041210000}"/>
    <cellStyle name="Note 2 5 5 2 2 2" xfId="18032" xr:uid="{D82ADC9F-1273-44AF-ABEC-3FF42E67D1E8}"/>
    <cellStyle name="Note 2 5 5 2 2 3" xfId="26479" xr:uid="{3500D9FC-5D9A-4159-A36B-9F4A13865CC7}"/>
    <cellStyle name="Note 2 5 5 2 3" xfId="13815" xr:uid="{B352AA97-3A19-47A1-B2FF-5AB42BAA54AA}"/>
    <cellStyle name="Note 2 5 5 2 4" xfId="22262" xr:uid="{B7880EC9-D9BD-4768-8AF5-C71301CC03B6}"/>
    <cellStyle name="Note 2 5 5 3" xfId="6561" xr:uid="{00000000-0005-0000-0000-000042210000}"/>
    <cellStyle name="Note 2 5 5 3 2" xfId="15887" xr:uid="{1EE60512-5AEF-4CB7-87ED-E7B00EC6CB64}"/>
    <cellStyle name="Note 2 5 5 3 3" xfId="24334" xr:uid="{A1A2A1B2-0FC2-466D-B3E7-D9C5572610FD}"/>
    <cellStyle name="Note 2 5 5 4" xfId="11670" xr:uid="{7B785E6C-1632-457A-B3EA-CEC9797B7861}"/>
    <cellStyle name="Note 2 5 5 5" xfId="20117" xr:uid="{87788763-B76A-4895-94DE-246C1A813D63}"/>
    <cellStyle name="Note 2 5 6" xfId="2691" xr:uid="{00000000-0005-0000-0000-000043210000}"/>
    <cellStyle name="Note 2 5 6 2" xfId="6974" xr:uid="{00000000-0005-0000-0000-000044210000}"/>
    <cellStyle name="Note 2 5 6 2 2" xfId="16300" xr:uid="{997E5CE1-CD8B-413D-B616-2948A7F16D37}"/>
    <cellStyle name="Note 2 5 6 2 3" xfId="24747" xr:uid="{911CD03F-1D08-47F6-BA0B-F7CB3CC0D170}"/>
    <cellStyle name="Note 2 5 6 3" xfId="12083" xr:uid="{241210F8-64BD-4728-893A-FF2B1CA93165}"/>
    <cellStyle name="Note 2 5 6 4" xfId="20530" xr:uid="{CD48EB8A-4BD0-443D-A796-53CF5A22D967}"/>
    <cellStyle name="Note 2 5 7" xfId="2750" xr:uid="{00000000-0005-0000-0000-000045210000}"/>
    <cellStyle name="Note 2 5 8" xfId="2831" xr:uid="{00000000-0005-0000-0000-000046210000}"/>
    <cellStyle name="Note 2 5 8 2" xfId="7054" xr:uid="{00000000-0005-0000-0000-000047210000}"/>
    <cellStyle name="Note 2 5 8 2 2" xfId="16380" xr:uid="{C7E7CA4B-5435-4E6A-9741-26BFE736D97E}"/>
    <cellStyle name="Note 2 5 8 2 3" xfId="24827" xr:uid="{EE157121-D798-4D39-9C4F-3606F26B1DE3}"/>
    <cellStyle name="Note 2 5 8 3" xfId="12163" xr:uid="{CC83AA7B-C6DC-406D-8CF7-C4A4404768A0}"/>
    <cellStyle name="Note 2 5 8 4" xfId="20610" xr:uid="{1A3CEFD1-A603-452C-AE2A-7D1AC685A3E8}"/>
    <cellStyle name="Note 2 5 9" xfId="4909" xr:uid="{00000000-0005-0000-0000-000048210000}"/>
    <cellStyle name="Note 2 5 9 2" xfId="14235" xr:uid="{00B6ABB7-44C8-48C2-91AF-627ED624C6D2}"/>
    <cellStyle name="Note 2 5 9 3" xfId="22682" xr:uid="{649F2562-4C33-4FA2-9E9E-E16EDA31561F}"/>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B0428232-4251-4509-8BCF-29C50B0D47F2}"/>
    <cellStyle name="Note 3 2 10 2 3" xfId="24828" xr:uid="{620C043A-D0C4-4820-8EE1-0E13A0828625}"/>
    <cellStyle name="Note 3 2 10 3" xfId="12164" xr:uid="{CED0EF1A-6EBC-4C55-991A-411088ACA42B}"/>
    <cellStyle name="Note 3 2 10 4" xfId="20611" xr:uid="{25F15882-502F-4165-B9BE-701C8791EFCC}"/>
    <cellStyle name="Note 3 2 11" xfId="4910" xr:uid="{00000000-0005-0000-0000-00004D210000}"/>
    <cellStyle name="Note 3 2 11 2" xfId="14236" xr:uid="{7EC6CFB4-5691-40B5-BB31-D9439E79C3E7}"/>
    <cellStyle name="Note 3 2 11 3" xfId="22683" xr:uid="{06DBE42A-D128-408C-8FEB-ED2BF9842B3B}"/>
    <cellStyle name="Note 3 2 12" xfId="8842" xr:uid="{646587AC-B7A9-43E2-AC1E-1B77745805D8}"/>
    <cellStyle name="Note 3 2 13" xfId="10019" xr:uid="{1B3FA2CB-4625-4AA7-8CA9-95E5CF96D826}"/>
    <cellStyle name="Note 3 2 14" xfId="18466" xr:uid="{F06AED94-B23B-41B1-BB63-91EE8108E252}"/>
    <cellStyle name="Note 3 2 2" xfId="555" xr:uid="{00000000-0005-0000-0000-00004E210000}"/>
    <cellStyle name="Note 3 2 2 10" xfId="4911" xr:uid="{00000000-0005-0000-0000-00004F210000}"/>
    <cellStyle name="Note 3 2 2 10 2" xfId="14237" xr:uid="{901A3325-113C-434D-A5A7-21B6F3D791BB}"/>
    <cellStyle name="Note 3 2 2 10 3" xfId="22684" xr:uid="{1086C095-6E3D-4D23-81B3-F76418F2DDBE}"/>
    <cellStyle name="Note 3 2 2 11" xfId="8945" xr:uid="{D320AF38-4F47-4266-9CB9-3BD7E15BFDAE}"/>
    <cellStyle name="Note 3 2 2 12" xfId="10020" xr:uid="{B745043F-9F57-4401-930A-5CDC1A823C6B}"/>
    <cellStyle name="Note 3 2 2 13" xfId="18467" xr:uid="{12336ED8-5748-418F-AC7D-A1D1B7F33DEA}"/>
    <cellStyle name="Note 3 2 2 2" xfId="556" xr:uid="{00000000-0005-0000-0000-000050210000}"/>
    <cellStyle name="Note 3 2 2 2 10" xfId="9152" xr:uid="{24874F5B-4700-44ED-9556-84C4E89A274D}"/>
    <cellStyle name="Note 3 2 2 2 11" xfId="10021" xr:uid="{7B805B4D-7F9E-4567-841C-D864AD2AA818}"/>
    <cellStyle name="Note 3 2 2 2 12" xfId="18468" xr:uid="{7FE7CCB5-F537-4E35-8EB3-DF81DC07E94E}"/>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6E706D71-8F3A-436B-8746-88BC0F414A7F}"/>
    <cellStyle name="Note 3 2 2 2 2 2 2 3" xfId="25243" xr:uid="{4431FA9E-CC83-4785-816D-9DE94E4C978C}"/>
    <cellStyle name="Note 3 2 2 2 2 2 3" xfId="12579" xr:uid="{5E71B9A7-80C1-4B8E-8AAB-1B522F155F40}"/>
    <cellStyle name="Note 3 2 2 2 2 2 4" xfId="21026" xr:uid="{AB4F1E8A-41CB-4149-B23B-41819757033D}"/>
    <cellStyle name="Note 3 2 2 2 2 3" xfId="5325" xr:uid="{00000000-0005-0000-0000-000054210000}"/>
    <cellStyle name="Note 3 2 2 2 2 3 2" xfId="14651" xr:uid="{0A8D91BF-E2DA-4C1E-B185-CC2E747B6509}"/>
    <cellStyle name="Note 3 2 2 2 2 3 3" xfId="23098" xr:uid="{8BF6D624-AFE8-43DA-8620-07CE400A3EA2}"/>
    <cellStyle name="Note 3 2 2 2 2 4" xfId="9577" xr:uid="{7C0C89D7-CA14-4942-89B2-D584AC810EDC}"/>
    <cellStyle name="Note 3 2 2 2 2 5" xfId="10434" xr:uid="{0BAB3B0A-7CD8-4802-A156-614B8D7A4C13}"/>
    <cellStyle name="Note 3 2 2 2 2 6" xfId="18881" xr:uid="{D4B76EC0-A0E5-4C7A-BB25-3B4166D075E9}"/>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4AF648F9-7D1D-4A83-9F65-1E4DF62E885D}"/>
    <cellStyle name="Note 3 2 2 2 3 2 2 3" xfId="25656" xr:uid="{5D342FFB-FF78-4D83-93A8-452D27CD51A0}"/>
    <cellStyle name="Note 3 2 2 2 3 2 3" xfId="12992" xr:uid="{8BF92570-BE27-4FE1-8D65-53ACDD72CFEB}"/>
    <cellStyle name="Note 3 2 2 2 3 2 4" xfId="21439" xr:uid="{8F7FCBF3-B738-41EB-9E78-C0C786372A5B}"/>
    <cellStyle name="Note 3 2 2 2 3 3" xfId="5738" xr:uid="{00000000-0005-0000-0000-000058210000}"/>
    <cellStyle name="Note 3 2 2 2 3 3 2" xfId="15064" xr:uid="{888FEB6D-5463-40E5-B341-56AABEE25ECF}"/>
    <cellStyle name="Note 3 2 2 2 3 3 3" xfId="23511" xr:uid="{EA539A99-91C5-407A-A2D9-676250C7D123}"/>
    <cellStyle name="Note 3 2 2 2 3 4" xfId="10847" xr:uid="{D5E07CA5-E863-46D5-B577-6A5B1A897F85}"/>
    <cellStyle name="Note 3 2 2 2 3 5" xfId="19294" xr:uid="{4285D504-F4E0-446B-9FAD-0075B4E7959B}"/>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AD80CE0A-BA88-4FF2-B85C-7BA8A175BAD5}"/>
    <cellStyle name="Note 3 2 2 2 4 2 2 3" xfId="26069" xr:uid="{DD2BF215-730F-4B28-9C20-865CBBFDBF48}"/>
    <cellStyle name="Note 3 2 2 2 4 2 3" xfId="13405" xr:uid="{AB68934D-44CD-4B77-B28F-D6FF690F1CBE}"/>
    <cellStyle name="Note 3 2 2 2 4 2 4" xfId="21852" xr:uid="{2D13C4DD-5FC6-4A2A-A2EF-4555F54C809B}"/>
    <cellStyle name="Note 3 2 2 2 4 3" xfId="6151" xr:uid="{00000000-0005-0000-0000-00005C210000}"/>
    <cellStyle name="Note 3 2 2 2 4 3 2" xfId="15477" xr:uid="{78F4B540-F2DB-4E6F-868C-062A374C5805}"/>
    <cellStyle name="Note 3 2 2 2 4 3 3" xfId="23924" xr:uid="{842A6CB5-09DF-414A-8F78-841067FA8089}"/>
    <cellStyle name="Note 3 2 2 2 4 4" xfId="11260" xr:uid="{181A58F6-54C8-4CAB-8C7E-6E4C7E582619}"/>
    <cellStyle name="Note 3 2 2 2 4 5" xfId="19707" xr:uid="{41EA7512-A57D-444F-AB5C-58BF4C67BDDE}"/>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4A9C6CDF-CC44-4182-91DC-A76D4F01BE7C}"/>
    <cellStyle name="Note 3 2 2 2 5 2 2 3" xfId="26482" xr:uid="{739AC97E-7A0D-415A-871D-7745BC090B34}"/>
    <cellStyle name="Note 3 2 2 2 5 2 3" xfId="13818" xr:uid="{CCAB1500-6657-45F8-970A-5080E4E00F50}"/>
    <cellStyle name="Note 3 2 2 2 5 2 4" xfId="22265" xr:uid="{4F37D04A-24E2-4627-BA2B-6EFAFF8F8EB2}"/>
    <cellStyle name="Note 3 2 2 2 5 3" xfId="6564" xr:uid="{00000000-0005-0000-0000-000060210000}"/>
    <cellStyle name="Note 3 2 2 2 5 3 2" xfId="15890" xr:uid="{7FC70F13-8FB6-4485-8607-139112D628AB}"/>
    <cellStyle name="Note 3 2 2 2 5 3 3" xfId="24337" xr:uid="{DD898EE3-DF4F-436F-A5E8-38DAA13B93BB}"/>
    <cellStyle name="Note 3 2 2 2 5 4" xfId="11673" xr:uid="{BC253331-A800-460B-AE5D-DB81755C5E2C}"/>
    <cellStyle name="Note 3 2 2 2 5 5" xfId="20120" xr:uid="{2F0300FB-E12D-4804-B3D0-23EA695ACB51}"/>
    <cellStyle name="Note 3 2 2 2 6" xfId="2694" xr:uid="{00000000-0005-0000-0000-000061210000}"/>
    <cellStyle name="Note 3 2 2 2 6 2" xfId="6977" xr:uid="{00000000-0005-0000-0000-000062210000}"/>
    <cellStyle name="Note 3 2 2 2 6 2 2" xfId="16303" xr:uid="{0ACBC255-7810-44B3-B066-7E2FF69B7EC1}"/>
    <cellStyle name="Note 3 2 2 2 6 2 3" xfId="24750" xr:uid="{A580B708-40C9-4D6A-8C32-D800EC078FCF}"/>
    <cellStyle name="Note 3 2 2 2 6 3" xfId="12086" xr:uid="{881111D1-9181-4AA9-AC8D-42E8BA349164}"/>
    <cellStyle name="Note 3 2 2 2 6 4" xfId="20533" xr:uid="{2E3A4986-E6DC-4E63-B895-42C4119B31DD}"/>
    <cellStyle name="Note 3 2 2 2 7" xfId="2753" xr:uid="{00000000-0005-0000-0000-000063210000}"/>
    <cellStyle name="Note 3 2 2 2 8" xfId="2834" xr:uid="{00000000-0005-0000-0000-000064210000}"/>
    <cellStyle name="Note 3 2 2 2 8 2" xfId="7057" xr:uid="{00000000-0005-0000-0000-000065210000}"/>
    <cellStyle name="Note 3 2 2 2 8 2 2" xfId="16383" xr:uid="{DB8BC921-F733-4D3F-9D67-7BCF1677DDBC}"/>
    <cellStyle name="Note 3 2 2 2 8 2 3" xfId="24830" xr:uid="{C371A9B2-4C3C-4C30-AB38-09F603385EBF}"/>
    <cellStyle name="Note 3 2 2 2 8 3" xfId="12166" xr:uid="{84D562E8-E371-4256-9639-2E426D15DB98}"/>
    <cellStyle name="Note 3 2 2 2 8 4" xfId="20613" xr:uid="{1C4BF841-044A-4716-919B-79598F5A5DB3}"/>
    <cellStyle name="Note 3 2 2 2 9" xfId="4912" xr:uid="{00000000-0005-0000-0000-000066210000}"/>
    <cellStyle name="Note 3 2 2 2 9 2" xfId="14238" xr:uid="{92C2726C-F43D-4896-BA83-747205BD9015}"/>
    <cellStyle name="Note 3 2 2 2 9 3" xfId="22685" xr:uid="{DBCA2FBD-6C98-4DDE-A1C1-A0B5B8FE3468}"/>
    <cellStyle name="Note 3 2 2 3" xfId="1015" xr:uid="{00000000-0005-0000-0000-000067210000}"/>
    <cellStyle name="Note 3 2 2 3 2" xfId="3247" xr:uid="{00000000-0005-0000-0000-000068210000}"/>
    <cellStyle name="Note 3 2 2 3 2 2" xfId="7469" xr:uid="{00000000-0005-0000-0000-000069210000}"/>
    <cellStyle name="Note 3 2 2 3 2 2 2" xfId="16795" xr:uid="{0F9F4204-8C87-41FD-A38B-DBDC0C0C94C9}"/>
    <cellStyle name="Note 3 2 2 3 2 2 3" xfId="25242" xr:uid="{BF320C2C-F617-4B81-BFA2-76175EEF340E}"/>
    <cellStyle name="Note 3 2 2 3 2 3" xfId="12578" xr:uid="{31F305CF-7546-49AD-99A3-BB63F6AF9090}"/>
    <cellStyle name="Note 3 2 2 3 2 4" xfId="21025" xr:uid="{88FDD478-E0ED-4933-B971-33927F0E724C}"/>
    <cellStyle name="Note 3 2 2 3 3" xfId="5324" xr:uid="{00000000-0005-0000-0000-00006A210000}"/>
    <cellStyle name="Note 3 2 2 3 3 2" xfId="14650" xr:uid="{BE75F98F-F5D2-49E3-B237-191B374BC4AC}"/>
    <cellStyle name="Note 3 2 2 3 3 3" xfId="23097" xr:uid="{5A9666DB-C258-427A-A0EE-0E14B725547B}"/>
    <cellStyle name="Note 3 2 2 3 4" xfId="9370" xr:uid="{7A803908-679B-4EF0-9BD4-89724B1FB321}"/>
    <cellStyle name="Note 3 2 2 3 5" xfId="10433" xr:uid="{3E002408-B030-433D-B605-68C6198E4B30}"/>
    <cellStyle name="Note 3 2 2 3 6" xfId="18880" xr:uid="{1E098C36-1BFC-4B56-9332-FDEB6E1B8272}"/>
    <cellStyle name="Note 3 2 2 4" xfId="1430" xr:uid="{00000000-0005-0000-0000-00006B210000}"/>
    <cellStyle name="Note 3 2 2 4 2" xfId="3660" xr:uid="{00000000-0005-0000-0000-00006C210000}"/>
    <cellStyle name="Note 3 2 2 4 2 2" xfId="7882" xr:uid="{00000000-0005-0000-0000-00006D210000}"/>
    <cellStyle name="Note 3 2 2 4 2 2 2" xfId="17208" xr:uid="{814C1C95-DA95-4E40-9D43-681AF2A188DD}"/>
    <cellStyle name="Note 3 2 2 4 2 2 3" xfId="25655" xr:uid="{E50654F4-0592-44CF-A81C-FBF3FFE06B61}"/>
    <cellStyle name="Note 3 2 2 4 2 3" xfId="12991" xr:uid="{47FC6CF3-E131-4973-8140-5898A717024F}"/>
    <cellStyle name="Note 3 2 2 4 2 4" xfId="21438" xr:uid="{4F4609E9-EDB2-4260-BBEC-CB294C4153F3}"/>
    <cellStyle name="Note 3 2 2 4 3" xfId="5737" xr:uid="{00000000-0005-0000-0000-00006E210000}"/>
    <cellStyle name="Note 3 2 2 4 3 2" xfId="15063" xr:uid="{91F97554-78C4-45C2-9178-3A7967C29116}"/>
    <cellStyle name="Note 3 2 2 4 3 3" xfId="23510" xr:uid="{70C8B38C-AD7C-4349-AFF0-72E88F17A73B}"/>
    <cellStyle name="Note 3 2 2 4 4" xfId="10846" xr:uid="{92E1BC55-0BB4-48A9-8A5B-FDCD8E1EDAAA}"/>
    <cellStyle name="Note 3 2 2 4 5" xfId="19293" xr:uid="{27EC04EC-AC00-41DE-86B9-AB6E3BB379D3}"/>
    <cellStyle name="Note 3 2 2 5" xfId="1844" xr:uid="{00000000-0005-0000-0000-00006F210000}"/>
    <cellStyle name="Note 3 2 2 5 2" xfId="4073" xr:uid="{00000000-0005-0000-0000-000070210000}"/>
    <cellStyle name="Note 3 2 2 5 2 2" xfId="8295" xr:uid="{00000000-0005-0000-0000-000071210000}"/>
    <cellStyle name="Note 3 2 2 5 2 2 2" xfId="17621" xr:uid="{4BADCADF-16D5-4D7C-A8B1-0A3C41A236C3}"/>
    <cellStyle name="Note 3 2 2 5 2 2 3" xfId="26068" xr:uid="{CECFACEF-B47E-443B-B6F3-3CB718E23BC9}"/>
    <cellStyle name="Note 3 2 2 5 2 3" xfId="13404" xr:uid="{3BEA9811-A584-456D-A89B-A9EA1E6AD465}"/>
    <cellStyle name="Note 3 2 2 5 2 4" xfId="21851" xr:uid="{449D5CBF-5D45-44EC-A4F6-BB2C15E56B28}"/>
    <cellStyle name="Note 3 2 2 5 3" xfId="6150" xr:uid="{00000000-0005-0000-0000-000072210000}"/>
    <cellStyle name="Note 3 2 2 5 3 2" xfId="15476" xr:uid="{9441F8E5-F5FD-456A-A2D6-A236FC25025D}"/>
    <cellStyle name="Note 3 2 2 5 3 3" xfId="23923" xr:uid="{98C99563-C552-432D-88BB-0B8D7AF5D1E3}"/>
    <cellStyle name="Note 3 2 2 5 4" xfId="11259" xr:uid="{D5EFB92A-926B-4A83-A7C9-EE0494C04040}"/>
    <cellStyle name="Note 3 2 2 5 5" xfId="19706" xr:uid="{95BA1E66-E465-4871-AB57-440BCFE1C62E}"/>
    <cellStyle name="Note 3 2 2 6" xfId="2257" xr:uid="{00000000-0005-0000-0000-000073210000}"/>
    <cellStyle name="Note 3 2 2 6 2" xfId="4486" xr:uid="{00000000-0005-0000-0000-000074210000}"/>
    <cellStyle name="Note 3 2 2 6 2 2" xfId="8708" xr:uid="{00000000-0005-0000-0000-000075210000}"/>
    <cellStyle name="Note 3 2 2 6 2 2 2" xfId="18034" xr:uid="{0AA6C866-E585-40A0-91E4-6602B32D9B53}"/>
    <cellStyle name="Note 3 2 2 6 2 2 3" xfId="26481" xr:uid="{0E23F045-93BD-4EB0-9C10-EE80844CC66C}"/>
    <cellStyle name="Note 3 2 2 6 2 3" xfId="13817" xr:uid="{93A20A9F-D38D-4387-B7A9-4F02D2DA9F88}"/>
    <cellStyle name="Note 3 2 2 6 2 4" xfId="22264" xr:uid="{1E2E0B03-C7DB-4EBB-B91E-C036ACCC06AB}"/>
    <cellStyle name="Note 3 2 2 6 3" xfId="6563" xr:uid="{00000000-0005-0000-0000-000076210000}"/>
    <cellStyle name="Note 3 2 2 6 3 2" xfId="15889" xr:uid="{D6A20925-70F1-46AD-9B38-BF99932F77B2}"/>
    <cellStyle name="Note 3 2 2 6 3 3" xfId="24336" xr:uid="{FA7A8BB3-6CD2-4F6D-B422-D0F2DFFF6101}"/>
    <cellStyle name="Note 3 2 2 6 4" xfId="11672" xr:uid="{41C66BC3-9338-4813-8B59-0E71E20ED9B8}"/>
    <cellStyle name="Note 3 2 2 6 5" xfId="20119" xr:uid="{F0C34C4F-5DC8-4F9C-B50A-E819C11A8EB1}"/>
    <cellStyle name="Note 3 2 2 7" xfId="2693" xr:uid="{00000000-0005-0000-0000-000077210000}"/>
    <cellStyle name="Note 3 2 2 7 2" xfId="6976" xr:uid="{00000000-0005-0000-0000-000078210000}"/>
    <cellStyle name="Note 3 2 2 7 2 2" xfId="16302" xr:uid="{90A97642-5EE8-4393-9400-0D12BF00DB45}"/>
    <cellStyle name="Note 3 2 2 7 2 3" xfId="24749" xr:uid="{428F8004-E2A1-49DF-A4B9-3CFFFA1117E7}"/>
    <cellStyle name="Note 3 2 2 7 3" xfId="12085" xr:uid="{44A48557-586E-4BA2-A28D-52BF58E2AA79}"/>
    <cellStyle name="Note 3 2 2 7 4" xfId="20532" xr:uid="{4AD4A552-DB6C-4741-AB9D-32E9E3CA7034}"/>
    <cellStyle name="Note 3 2 2 8" xfId="2752" xr:uid="{00000000-0005-0000-0000-000079210000}"/>
    <cellStyle name="Note 3 2 2 9" xfId="2833" xr:uid="{00000000-0005-0000-0000-00007A210000}"/>
    <cellStyle name="Note 3 2 2 9 2" xfId="7056" xr:uid="{00000000-0005-0000-0000-00007B210000}"/>
    <cellStyle name="Note 3 2 2 9 2 2" xfId="16382" xr:uid="{A48AFA4A-5EDC-4587-A035-4ADB79A08554}"/>
    <cellStyle name="Note 3 2 2 9 2 3" xfId="24829" xr:uid="{1331A1EE-19F2-4F4D-9872-2C93E31BDBFC}"/>
    <cellStyle name="Note 3 2 2 9 3" xfId="12165" xr:uid="{9B394D8F-4F5D-4D54-BDB4-250604C2B73E}"/>
    <cellStyle name="Note 3 2 2 9 4" xfId="20612" xr:uid="{C91DBD79-B571-481F-AAB9-88ADB47FF858}"/>
    <cellStyle name="Note 3 2 3" xfId="557" xr:uid="{00000000-0005-0000-0000-00007C210000}"/>
    <cellStyle name="Note 3 2 3 10" xfId="9049" xr:uid="{98DA21AE-8EED-4AF2-A5D5-94394E9C9EFE}"/>
    <cellStyle name="Note 3 2 3 11" xfId="10022" xr:uid="{7FF91627-E8D3-4788-A3AF-E5240F414CBC}"/>
    <cellStyle name="Note 3 2 3 12" xfId="18469" xr:uid="{2D408DDE-5914-4DDD-88F8-1D7F5C7E1F4B}"/>
    <cellStyle name="Note 3 2 3 2" xfId="1017" xr:uid="{00000000-0005-0000-0000-00007D210000}"/>
    <cellStyle name="Note 3 2 3 2 2" xfId="3249" xr:uid="{00000000-0005-0000-0000-00007E210000}"/>
    <cellStyle name="Note 3 2 3 2 2 2" xfId="7471" xr:uid="{00000000-0005-0000-0000-00007F210000}"/>
    <cellStyle name="Note 3 2 3 2 2 2 2" xfId="16797" xr:uid="{85CBCC4E-96A3-48AA-B59A-BA8CAA565BAA}"/>
    <cellStyle name="Note 3 2 3 2 2 2 3" xfId="25244" xr:uid="{C380F8BE-4EF8-4FDE-8632-8C0EFE8040EF}"/>
    <cellStyle name="Note 3 2 3 2 2 3" xfId="12580" xr:uid="{59EA43F1-BE3F-4B5B-BE2F-CC0054EBBBDA}"/>
    <cellStyle name="Note 3 2 3 2 2 4" xfId="21027" xr:uid="{44E59F2C-729A-408A-9DF5-C820ED655927}"/>
    <cellStyle name="Note 3 2 3 2 3" xfId="5326" xr:uid="{00000000-0005-0000-0000-000080210000}"/>
    <cellStyle name="Note 3 2 3 2 3 2" xfId="14652" xr:uid="{0FC281D8-C849-4C97-A8D1-2514B4DD6E86}"/>
    <cellStyle name="Note 3 2 3 2 3 3" xfId="23099" xr:uid="{0A295D51-6DA4-4652-AB6F-E94506A38B7F}"/>
    <cellStyle name="Note 3 2 3 2 4" xfId="9474" xr:uid="{8827394E-7DCF-4E58-BF45-94E8587F7D91}"/>
    <cellStyle name="Note 3 2 3 2 5" xfId="10435" xr:uid="{612873FA-3370-4A2B-BAFB-76FEB7EB3F47}"/>
    <cellStyle name="Note 3 2 3 2 6" xfId="18882" xr:uid="{6E104C67-6521-441B-9D79-95A3C3061899}"/>
    <cellStyle name="Note 3 2 3 3" xfId="1432" xr:uid="{00000000-0005-0000-0000-000081210000}"/>
    <cellStyle name="Note 3 2 3 3 2" xfId="3662" xr:uid="{00000000-0005-0000-0000-000082210000}"/>
    <cellStyle name="Note 3 2 3 3 2 2" xfId="7884" xr:uid="{00000000-0005-0000-0000-000083210000}"/>
    <cellStyle name="Note 3 2 3 3 2 2 2" xfId="17210" xr:uid="{C3ABF509-DFD8-4CDA-A476-3B4718405A03}"/>
    <cellStyle name="Note 3 2 3 3 2 2 3" xfId="25657" xr:uid="{FF38642F-DA14-4DD2-B4E2-84A462BC6079}"/>
    <cellStyle name="Note 3 2 3 3 2 3" xfId="12993" xr:uid="{EA5F587F-E24F-4E0E-B60E-F3CC90A28144}"/>
    <cellStyle name="Note 3 2 3 3 2 4" xfId="21440" xr:uid="{02D1E7A1-9C77-4B7B-9EBE-BF061AADE4AD}"/>
    <cellStyle name="Note 3 2 3 3 3" xfId="5739" xr:uid="{00000000-0005-0000-0000-000084210000}"/>
    <cellStyle name="Note 3 2 3 3 3 2" xfId="15065" xr:uid="{FD0FCF02-30A2-4A49-B7E7-2554859C971D}"/>
    <cellStyle name="Note 3 2 3 3 3 3" xfId="23512" xr:uid="{7F2EF227-F352-4685-94B2-95E62EFB1CA6}"/>
    <cellStyle name="Note 3 2 3 3 4" xfId="10848" xr:uid="{42D4B6B0-38D5-4D03-A9B3-B220339CB3B1}"/>
    <cellStyle name="Note 3 2 3 3 5" xfId="19295" xr:uid="{30B328E2-09FE-4E84-BA31-7B6E32FD66D3}"/>
    <cellStyle name="Note 3 2 3 4" xfId="1846" xr:uid="{00000000-0005-0000-0000-000085210000}"/>
    <cellStyle name="Note 3 2 3 4 2" xfId="4075" xr:uid="{00000000-0005-0000-0000-000086210000}"/>
    <cellStyle name="Note 3 2 3 4 2 2" xfId="8297" xr:uid="{00000000-0005-0000-0000-000087210000}"/>
    <cellStyle name="Note 3 2 3 4 2 2 2" xfId="17623" xr:uid="{33EC4A9E-3E27-4550-A3F0-3F883C222CC5}"/>
    <cellStyle name="Note 3 2 3 4 2 2 3" xfId="26070" xr:uid="{7D079E58-3CB6-4F05-9F65-56C326416FAF}"/>
    <cellStyle name="Note 3 2 3 4 2 3" xfId="13406" xr:uid="{78F3D505-0218-4E46-A988-A3AAA7FDA90C}"/>
    <cellStyle name="Note 3 2 3 4 2 4" xfId="21853" xr:uid="{AE085BA9-AC9E-41FF-8C5D-7E97350DF887}"/>
    <cellStyle name="Note 3 2 3 4 3" xfId="6152" xr:uid="{00000000-0005-0000-0000-000088210000}"/>
    <cellStyle name="Note 3 2 3 4 3 2" xfId="15478" xr:uid="{366E23A4-2C81-4DE4-99DC-7FC82D399E1B}"/>
    <cellStyle name="Note 3 2 3 4 3 3" xfId="23925" xr:uid="{CEC59BB1-7500-441F-8F6C-C5F941FA2F50}"/>
    <cellStyle name="Note 3 2 3 4 4" xfId="11261" xr:uid="{C779D9DE-F0C4-4FD8-990C-CE3D69D29A83}"/>
    <cellStyle name="Note 3 2 3 4 5" xfId="19708" xr:uid="{9034C64A-D5F2-468E-AD74-FDC71DC55304}"/>
    <cellStyle name="Note 3 2 3 5" xfId="2259" xr:uid="{00000000-0005-0000-0000-000089210000}"/>
    <cellStyle name="Note 3 2 3 5 2" xfId="4488" xr:uid="{00000000-0005-0000-0000-00008A210000}"/>
    <cellStyle name="Note 3 2 3 5 2 2" xfId="8710" xr:uid="{00000000-0005-0000-0000-00008B210000}"/>
    <cellStyle name="Note 3 2 3 5 2 2 2" xfId="18036" xr:uid="{3BF83CD3-8094-4270-A2D6-3E9976419F0E}"/>
    <cellStyle name="Note 3 2 3 5 2 2 3" xfId="26483" xr:uid="{E26C4ADA-EC2B-4014-84A5-BA82F21B0D4C}"/>
    <cellStyle name="Note 3 2 3 5 2 3" xfId="13819" xr:uid="{E5A350DF-9225-4527-98B0-4C3796D0D491}"/>
    <cellStyle name="Note 3 2 3 5 2 4" xfId="22266" xr:uid="{C3783ADE-B0D1-490E-AFED-A933B259A611}"/>
    <cellStyle name="Note 3 2 3 5 3" xfId="6565" xr:uid="{00000000-0005-0000-0000-00008C210000}"/>
    <cellStyle name="Note 3 2 3 5 3 2" xfId="15891" xr:uid="{B47C1984-0121-4CD8-A0EF-ABE4C5A6D449}"/>
    <cellStyle name="Note 3 2 3 5 3 3" xfId="24338" xr:uid="{1B194A9D-03EE-44E9-A0CB-742C94E4DF5F}"/>
    <cellStyle name="Note 3 2 3 5 4" xfId="11674" xr:uid="{AAC2180D-1471-4213-92B6-237642598C99}"/>
    <cellStyle name="Note 3 2 3 5 5" xfId="20121" xr:uid="{E8EF7E10-6427-40E8-9868-858EC137971B}"/>
    <cellStyle name="Note 3 2 3 6" xfId="2695" xr:uid="{00000000-0005-0000-0000-00008D210000}"/>
    <cellStyle name="Note 3 2 3 6 2" xfId="6978" xr:uid="{00000000-0005-0000-0000-00008E210000}"/>
    <cellStyle name="Note 3 2 3 6 2 2" xfId="16304" xr:uid="{DDF760D4-8FAD-4391-A3DC-8464429A5A8C}"/>
    <cellStyle name="Note 3 2 3 6 2 3" xfId="24751" xr:uid="{DAEB1F6F-8429-4297-AF9B-55F687B0C224}"/>
    <cellStyle name="Note 3 2 3 6 3" xfId="12087" xr:uid="{12E8F3B7-A39C-404C-9A32-10BC765C4B33}"/>
    <cellStyle name="Note 3 2 3 6 4" xfId="20534" xr:uid="{67DE2AC9-8AC0-4C74-B55F-61B9BF5FC53B}"/>
    <cellStyle name="Note 3 2 3 7" xfId="2754" xr:uid="{00000000-0005-0000-0000-00008F210000}"/>
    <cellStyle name="Note 3 2 3 8" xfId="2835" xr:uid="{00000000-0005-0000-0000-000090210000}"/>
    <cellStyle name="Note 3 2 3 8 2" xfId="7058" xr:uid="{00000000-0005-0000-0000-000091210000}"/>
    <cellStyle name="Note 3 2 3 8 2 2" xfId="16384" xr:uid="{D58DEA36-4DEC-41EB-8DD4-20559C6BACB1}"/>
    <cellStyle name="Note 3 2 3 8 2 3" xfId="24831" xr:uid="{E7243D33-E2DE-41E4-A2EB-677CC4F718EE}"/>
    <cellStyle name="Note 3 2 3 8 3" xfId="12167" xr:uid="{03F12775-698C-41D0-9E99-C829A9FC5A33}"/>
    <cellStyle name="Note 3 2 3 8 4" xfId="20614" xr:uid="{858D9B2B-752D-4A0B-A1FE-10CE398FF82C}"/>
    <cellStyle name="Note 3 2 3 9" xfId="4913" xr:uid="{00000000-0005-0000-0000-000092210000}"/>
    <cellStyle name="Note 3 2 3 9 2" xfId="14239" xr:uid="{A9D2E22E-1319-453D-B249-3614C31FADD6}"/>
    <cellStyle name="Note 3 2 3 9 3" xfId="22686" xr:uid="{EC143598-1DB1-4DCB-BBBD-A2A5A318B9A4}"/>
    <cellStyle name="Note 3 2 4" xfId="1014" xr:uid="{00000000-0005-0000-0000-000093210000}"/>
    <cellStyle name="Note 3 2 4 2" xfId="3246" xr:uid="{00000000-0005-0000-0000-000094210000}"/>
    <cellStyle name="Note 3 2 4 2 2" xfId="7468" xr:uid="{00000000-0005-0000-0000-000095210000}"/>
    <cellStyle name="Note 3 2 4 2 2 2" xfId="16794" xr:uid="{B8BB1F4D-DAE3-426B-B57B-6F6E8807326A}"/>
    <cellStyle name="Note 3 2 4 2 2 3" xfId="25241" xr:uid="{EF63B62C-4824-4DF3-9CB0-6CB80D553E2B}"/>
    <cellStyle name="Note 3 2 4 2 3" xfId="12577" xr:uid="{482792DE-D506-4A74-95A0-6D93B2C35C08}"/>
    <cellStyle name="Note 3 2 4 2 4" xfId="21024" xr:uid="{D86961FA-BFAE-49C7-A284-EB797BCEBFF4}"/>
    <cellStyle name="Note 3 2 4 3" xfId="5323" xr:uid="{00000000-0005-0000-0000-000096210000}"/>
    <cellStyle name="Note 3 2 4 3 2" xfId="14649" xr:uid="{ECFF8F12-FAC0-4B5A-996A-792271B0C234}"/>
    <cellStyle name="Note 3 2 4 3 3" xfId="23096" xr:uid="{1FA4F18D-E012-48FB-A205-736E2D658CB7}"/>
    <cellStyle name="Note 3 2 4 4" xfId="9267" xr:uid="{1291CED5-E18E-4F1A-8856-A132B18F5C81}"/>
    <cellStyle name="Note 3 2 4 5" xfId="10432" xr:uid="{0035C9DC-71B1-476B-988C-6120F7090C3E}"/>
    <cellStyle name="Note 3 2 4 6" xfId="18879" xr:uid="{DF7D816C-6BCA-4C94-8101-380C4734E124}"/>
    <cellStyle name="Note 3 2 5" xfId="1429" xr:uid="{00000000-0005-0000-0000-000097210000}"/>
    <cellStyle name="Note 3 2 5 2" xfId="3659" xr:uid="{00000000-0005-0000-0000-000098210000}"/>
    <cellStyle name="Note 3 2 5 2 2" xfId="7881" xr:uid="{00000000-0005-0000-0000-000099210000}"/>
    <cellStyle name="Note 3 2 5 2 2 2" xfId="17207" xr:uid="{31BAAB65-DCBB-4A38-AB3C-19AC80B2DE32}"/>
    <cellStyle name="Note 3 2 5 2 2 3" xfId="25654" xr:uid="{8B82739E-5B31-4D18-BB17-D32D71182091}"/>
    <cellStyle name="Note 3 2 5 2 3" xfId="12990" xr:uid="{0ED92B17-B500-46F5-B1C7-913C181713FF}"/>
    <cellStyle name="Note 3 2 5 2 4" xfId="21437" xr:uid="{70A4167B-80CF-4F96-89BD-E577361F8EFF}"/>
    <cellStyle name="Note 3 2 5 3" xfId="5736" xr:uid="{00000000-0005-0000-0000-00009A210000}"/>
    <cellStyle name="Note 3 2 5 3 2" xfId="15062" xr:uid="{EB93BC53-368E-4BC5-BCFA-40835E155537}"/>
    <cellStyle name="Note 3 2 5 3 3" xfId="23509" xr:uid="{A3E5561C-BF76-42B2-88DB-5F89852795ED}"/>
    <cellStyle name="Note 3 2 5 4" xfId="10845" xr:uid="{C6C2F3AD-581A-402F-A799-E29779B1208F}"/>
    <cellStyle name="Note 3 2 5 5" xfId="19292" xr:uid="{B10D3318-33E0-49ED-9496-9581FFC3DC14}"/>
    <cellStyle name="Note 3 2 6" xfId="1843" xr:uid="{00000000-0005-0000-0000-00009B210000}"/>
    <cellStyle name="Note 3 2 6 2" xfId="4072" xr:uid="{00000000-0005-0000-0000-00009C210000}"/>
    <cellStyle name="Note 3 2 6 2 2" xfId="8294" xr:uid="{00000000-0005-0000-0000-00009D210000}"/>
    <cellStyle name="Note 3 2 6 2 2 2" xfId="17620" xr:uid="{85D57F71-C675-4280-8B05-B3BDBE761C3A}"/>
    <cellStyle name="Note 3 2 6 2 2 3" xfId="26067" xr:uid="{1D3EF13C-64A5-4D0F-90E7-E0CBD5DD3DD1}"/>
    <cellStyle name="Note 3 2 6 2 3" xfId="13403" xr:uid="{8FB72210-B6B1-47C7-A008-9A1855DE01AB}"/>
    <cellStyle name="Note 3 2 6 2 4" xfId="21850" xr:uid="{CBCA65AA-F585-4454-872D-71C061DA620A}"/>
    <cellStyle name="Note 3 2 6 3" xfId="6149" xr:uid="{00000000-0005-0000-0000-00009E210000}"/>
    <cellStyle name="Note 3 2 6 3 2" xfId="15475" xr:uid="{88531CC2-78A9-43DE-8EFC-617C025715D1}"/>
    <cellStyle name="Note 3 2 6 3 3" xfId="23922" xr:uid="{A54377F6-1061-4A2F-9E71-D78BED181B88}"/>
    <cellStyle name="Note 3 2 6 4" xfId="11258" xr:uid="{108DAF80-5BD8-4E7F-9EE7-7148C8DCA17E}"/>
    <cellStyle name="Note 3 2 6 5" xfId="19705" xr:uid="{1E92A68B-BC55-4851-8B73-37C8C4737EEC}"/>
    <cellStyle name="Note 3 2 7" xfId="2256" xr:uid="{00000000-0005-0000-0000-00009F210000}"/>
    <cellStyle name="Note 3 2 7 2" xfId="4485" xr:uid="{00000000-0005-0000-0000-0000A0210000}"/>
    <cellStyle name="Note 3 2 7 2 2" xfId="8707" xr:uid="{00000000-0005-0000-0000-0000A1210000}"/>
    <cellStyle name="Note 3 2 7 2 2 2" xfId="18033" xr:uid="{01DA3BDA-AA31-49C2-9198-46147B4A46BB}"/>
    <cellStyle name="Note 3 2 7 2 2 3" xfId="26480" xr:uid="{53EC8E02-56CD-474A-A3ED-F2B4A8C2C95E}"/>
    <cellStyle name="Note 3 2 7 2 3" xfId="13816" xr:uid="{47599C5A-32A0-4847-BF30-23127C1CF860}"/>
    <cellStyle name="Note 3 2 7 2 4" xfId="22263" xr:uid="{35024814-189E-4C3E-9DDB-B4511EF9FE84}"/>
    <cellStyle name="Note 3 2 7 3" xfId="6562" xr:uid="{00000000-0005-0000-0000-0000A2210000}"/>
    <cellStyle name="Note 3 2 7 3 2" xfId="15888" xr:uid="{1FC1B20C-2954-449F-9456-FCBECB03A8BD}"/>
    <cellStyle name="Note 3 2 7 3 3" xfId="24335" xr:uid="{F53EA1B6-32EA-4B97-AA6D-E4EA8CD97689}"/>
    <cellStyle name="Note 3 2 7 4" xfId="11671" xr:uid="{5B33835D-F751-4242-B36E-11ACC37BEA51}"/>
    <cellStyle name="Note 3 2 7 5" xfId="20118" xr:uid="{B29ADF3F-D9A2-494D-A388-160D7B90AFE4}"/>
    <cellStyle name="Note 3 2 8" xfId="2692" xr:uid="{00000000-0005-0000-0000-0000A3210000}"/>
    <cellStyle name="Note 3 2 8 2" xfId="6975" xr:uid="{00000000-0005-0000-0000-0000A4210000}"/>
    <cellStyle name="Note 3 2 8 2 2" xfId="16301" xr:uid="{17A14AEC-01A2-446F-85A8-8C396C34E657}"/>
    <cellStyle name="Note 3 2 8 2 3" xfId="24748" xr:uid="{640BBA01-DE6C-478F-851B-ACC50E5936E9}"/>
    <cellStyle name="Note 3 2 8 3" xfId="12084" xr:uid="{829781C5-50A9-41C0-BF80-D3A6B02F15C6}"/>
    <cellStyle name="Note 3 2 8 4" xfId="20531" xr:uid="{18ACC382-87CD-4A23-A5BD-55B8A636256E}"/>
    <cellStyle name="Note 3 2 9" xfId="2751" xr:uid="{00000000-0005-0000-0000-0000A5210000}"/>
    <cellStyle name="Note 3 3" xfId="558" xr:uid="{00000000-0005-0000-0000-0000A6210000}"/>
    <cellStyle name="Note 3 3 10" xfId="4914" xr:uid="{00000000-0005-0000-0000-0000A7210000}"/>
    <cellStyle name="Note 3 3 10 2" xfId="14240" xr:uid="{097E2138-9CC9-43EF-9DE4-2FDF25477BC1}"/>
    <cellStyle name="Note 3 3 10 3" xfId="22687" xr:uid="{8C08DE85-2386-4091-9727-F939152C3843}"/>
    <cellStyle name="Note 3 3 11" xfId="8892" xr:uid="{8511F94A-7472-4DD0-A9AB-40754FEE5F47}"/>
    <cellStyle name="Note 3 3 12" xfId="10023" xr:uid="{48E59793-7C22-4025-9F75-2C94FCF86839}"/>
    <cellStyle name="Note 3 3 13" xfId="18470" xr:uid="{4A22EE65-02FC-43BC-817F-0B40A3B331F0}"/>
    <cellStyle name="Note 3 3 2" xfId="559" xr:uid="{00000000-0005-0000-0000-0000A8210000}"/>
    <cellStyle name="Note 3 3 2 10" xfId="9099" xr:uid="{29F3AC20-D296-4B59-BA53-0A5C025B0569}"/>
    <cellStyle name="Note 3 3 2 11" xfId="10024" xr:uid="{843074C0-E05B-49D6-97BD-353E453E77AD}"/>
    <cellStyle name="Note 3 3 2 12" xfId="18471" xr:uid="{998577D7-067A-4A9B-823C-BE3E5197ACE8}"/>
    <cellStyle name="Note 3 3 2 2" xfId="1019" xr:uid="{00000000-0005-0000-0000-0000A9210000}"/>
    <cellStyle name="Note 3 3 2 2 2" xfId="3251" xr:uid="{00000000-0005-0000-0000-0000AA210000}"/>
    <cellStyle name="Note 3 3 2 2 2 2" xfId="7473" xr:uid="{00000000-0005-0000-0000-0000AB210000}"/>
    <cellStyle name="Note 3 3 2 2 2 2 2" xfId="16799" xr:uid="{248402AD-9D6D-4265-819A-13658794CF7A}"/>
    <cellStyle name="Note 3 3 2 2 2 2 3" xfId="25246" xr:uid="{B6CBEF68-7ED2-41BE-BB35-D84A4AA4D2E4}"/>
    <cellStyle name="Note 3 3 2 2 2 3" xfId="12582" xr:uid="{6044633F-A315-40E1-84B8-375E8ADB8D25}"/>
    <cellStyle name="Note 3 3 2 2 2 4" xfId="21029" xr:uid="{10677556-7FF6-4B7C-9F9C-6FC9BE5FFC5B}"/>
    <cellStyle name="Note 3 3 2 2 3" xfId="5328" xr:uid="{00000000-0005-0000-0000-0000AC210000}"/>
    <cellStyle name="Note 3 3 2 2 3 2" xfId="14654" xr:uid="{91B2FDF6-37CD-4596-A667-0C6448408922}"/>
    <cellStyle name="Note 3 3 2 2 3 3" xfId="23101" xr:uid="{C716A6E5-092C-4542-8E2C-DA83405BA629}"/>
    <cellStyle name="Note 3 3 2 2 4" xfId="9524" xr:uid="{D03F5DE7-D9AB-48C0-A1E3-0A929D2C18C5}"/>
    <cellStyle name="Note 3 3 2 2 5" xfId="10437" xr:uid="{BD84CA32-BA30-4155-BD1D-74783D1F3ABE}"/>
    <cellStyle name="Note 3 3 2 2 6" xfId="18884" xr:uid="{50E279AB-F922-4F03-A949-76963AD7679C}"/>
    <cellStyle name="Note 3 3 2 3" xfId="1434" xr:uid="{00000000-0005-0000-0000-0000AD210000}"/>
    <cellStyle name="Note 3 3 2 3 2" xfId="3664" xr:uid="{00000000-0005-0000-0000-0000AE210000}"/>
    <cellStyle name="Note 3 3 2 3 2 2" xfId="7886" xr:uid="{00000000-0005-0000-0000-0000AF210000}"/>
    <cellStyle name="Note 3 3 2 3 2 2 2" xfId="17212" xr:uid="{E3CEC6B8-ABDC-4FE4-971D-F850EA5C4C79}"/>
    <cellStyle name="Note 3 3 2 3 2 2 3" xfId="25659" xr:uid="{0D02357D-C67B-4B5A-BC52-5EBF23D821DE}"/>
    <cellStyle name="Note 3 3 2 3 2 3" xfId="12995" xr:uid="{827EA33A-3493-4C75-963D-A50803E679DB}"/>
    <cellStyle name="Note 3 3 2 3 2 4" xfId="21442" xr:uid="{A88FA4E4-43B1-48BD-82DE-9DCFF7DF4FE0}"/>
    <cellStyle name="Note 3 3 2 3 3" xfId="5741" xr:uid="{00000000-0005-0000-0000-0000B0210000}"/>
    <cellStyle name="Note 3 3 2 3 3 2" xfId="15067" xr:uid="{C2E7FA73-2DCC-4B6C-B6D7-52E808B622C6}"/>
    <cellStyle name="Note 3 3 2 3 3 3" xfId="23514" xr:uid="{B9231389-BC5A-4255-BABE-5E950FED02A1}"/>
    <cellStyle name="Note 3 3 2 3 4" xfId="10850" xr:uid="{D7FD743E-C007-4126-9F9D-A18F8EE40C37}"/>
    <cellStyle name="Note 3 3 2 3 5" xfId="19297" xr:uid="{3379634C-1327-443E-90B6-3C07CD528B57}"/>
    <cellStyle name="Note 3 3 2 4" xfId="1848" xr:uid="{00000000-0005-0000-0000-0000B1210000}"/>
    <cellStyle name="Note 3 3 2 4 2" xfId="4077" xr:uid="{00000000-0005-0000-0000-0000B2210000}"/>
    <cellStyle name="Note 3 3 2 4 2 2" xfId="8299" xr:uid="{00000000-0005-0000-0000-0000B3210000}"/>
    <cellStyle name="Note 3 3 2 4 2 2 2" xfId="17625" xr:uid="{7835EB4F-CD45-4247-BEDF-FF5110ADD6B5}"/>
    <cellStyle name="Note 3 3 2 4 2 2 3" xfId="26072" xr:uid="{E9150E1F-40FB-462A-9B49-14227E87344D}"/>
    <cellStyle name="Note 3 3 2 4 2 3" xfId="13408" xr:uid="{55AFA3BE-5959-47DD-B9D8-75B0F2E59520}"/>
    <cellStyle name="Note 3 3 2 4 2 4" xfId="21855" xr:uid="{F5549D30-1E06-4939-9BEC-79517D3D7C32}"/>
    <cellStyle name="Note 3 3 2 4 3" xfId="6154" xr:uid="{00000000-0005-0000-0000-0000B4210000}"/>
    <cellStyle name="Note 3 3 2 4 3 2" xfId="15480" xr:uid="{F6AEC6E6-EA62-4C98-9F35-CB53BAE3EB9E}"/>
    <cellStyle name="Note 3 3 2 4 3 3" xfId="23927" xr:uid="{4E7070F8-A8E7-44F4-9CA9-FE6DA662BDB3}"/>
    <cellStyle name="Note 3 3 2 4 4" xfId="11263" xr:uid="{C9A20700-D709-470B-8362-9DA0285FA19D}"/>
    <cellStyle name="Note 3 3 2 4 5" xfId="19710" xr:uid="{6DBE9B56-E81D-4BEB-B6E8-64C656765AC5}"/>
    <cellStyle name="Note 3 3 2 5" xfId="2261" xr:uid="{00000000-0005-0000-0000-0000B5210000}"/>
    <cellStyle name="Note 3 3 2 5 2" xfId="4490" xr:uid="{00000000-0005-0000-0000-0000B6210000}"/>
    <cellStyle name="Note 3 3 2 5 2 2" xfId="8712" xr:uid="{00000000-0005-0000-0000-0000B7210000}"/>
    <cellStyle name="Note 3 3 2 5 2 2 2" xfId="18038" xr:uid="{8CD5C8BE-36CD-4A01-858D-D58D294FE208}"/>
    <cellStyle name="Note 3 3 2 5 2 2 3" xfId="26485" xr:uid="{603D72D6-D64F-428E-952E-E71AA37838BA}"/>
    <cellStyle name="Note 3 3 2 5 2 3" xfId="13821" xr:uid="{62E4FE5E-F80E-467A-835B-1C7698FBFD8B}"/>
    <cellStyle name="Note 3 3 2 5 2 4" xfId="22268" xr:uid="{0686A1AA-7BEE-42E5-A5BD-33F746A89988}"/>
    <cellStyle name="Note 3 3 2 5 3" xfId="6567" xr:uid="{00000000-0005-0000-0000-0000B8210000}"/>
    <cellStyle name="Note 3 3 2 5 3 2" xfId="15893" xr:uid="{85DAA37C-A175-4CE5-BCDE-F179E93C1E1B}"/>
    <cellStyle name="Note 3 3 2 5 3 3" xfId="24340" xr:uid="{87099A94-B47C-44CE-B21C-A1BA9D26D0AA}"/>
    <cellStyle name="Note 3 3 2 5 4" xfId="11676" xr:uid="{125BCCD6-F191-4D24-A08E-287B3D6C5F4A}"/>
    <cellStyle name="Note 3 3 2 5 5" xfId="20123" xr:uid="{9C471E98-B47F-4F2D-B482-242BB844CA9D}"/>
    <cellStyle name="Note 3 3 2 6" xfId="2697" xr:uid="{00000000-0005-0000-0000-0000B9210000}"/>
    <cellStyle name="Note 3 3 2 6 2" xfId="6980" xr:uid="{00000000-0005-0000-0000-0000BA210000}"/>
    <cellStyle name="Note 3 3 2 6 2 2" xfId="16306" xr:uid="{09CDF1B4-3F7B-4D5A-B786-ED63C6CBB2B8}"/>
    <cellStyle name="Note 3 3 2 6 2 3" xfId="24753" xr:uid="{F77F544D-5B7B-4B93-9C13-66C65FA34283}"/>
    <cellStyle name="Note 3 3 2 6 3" xfId="12089" xr:uid="{2800D957-DAD6-4A26-8070-290BEE6370E9}"/>
    <cellStyle name="Note 3 3 2 6 4" xfId="20536" xr:uid="{A2AABA81-EF89-46C7-93AC-38C9C72DBDFF}"/>
    <cellStyle name="Note 3 3 2 7" xfId="2756" xr:uid="{00000000-0005-0000-0000-0000BB210000}"/>
    <cellStyle name="Note 3 3 2 8" xfId="2837" xr:uid="{00000000-0005-0000-0000-0000BC210000}"/>
    <cellStyle name="Note 3 3 2 8 2" xfId="7060" xr:uid="{00000000-0005-0000-0000-0000BD210000}"/>
    <cellStyle name="Note 3 3 2 8 2 2" xfId="16386" xr:uid="{508E2EEB-B505-47BD-8E0C-77F184837EF5}"/>
    <cellStyle name="Note 3 3 2 8 2 3" xfId="24833" xr:uid="{0B96D661-E585-4134-996D-A550C749AE8B}"/>
    <cellStyle name="Note 3 3 2 8 3" xfId="12169" xr:uid="{49CF7438-0DFA-4993-A9B4-52984E6F40F8}"/>
    <cellStyle name="Note 3 3 2 8 4" xfId="20616" xr:uid="{6D59CEE8-A068-44EF-8DC2-0BBDF8986C88}"/>
    <cellStyle name="Note 3 3 2 9" xfId="4915" xr:uid="{00000000-0005-0000-0000-0000BE210000}"/>
    <cellStyle name="Note 3 3 2 9 2" xfId="14241" xr:uid="{E12A4BFC-32BF-4AD8-AEB2-FB3F287EBCB1}"/>
    <cellStyle name="Note 3 3 2 9 3" xfId="22688" xr:uid="{C5B70DE1-04DB-48AA-9C4C-166F47B1AE2C}"/>
    <cellStyle name="Note 3 3 3" xfId="1018" xr:uid="{00000000-0005-0000-0000-0000BF210000}"/>
    <cellStyle name="Note 3 3 3 2" xfId="3250" xr:uid="{00000000-0005-0000-0000-0000C0210000}"/>
    <cellStyle name="Note 3 3 3 2 2" xfId="7472" xr:uid="{00000000-0005-0000-0000-0000C1210000}"/>
    <cellStyle name="Note 3 3 3 2 2 2" xfId="16798" xr:uid="{3F430D52-5420-4700-858C-C81099453D99}"/>
    <cellStyle name="Note 3 3 3 2 2 3" xfId="25245" xr:uid="{4A226069-8F4D-4566-B841-2CCE037B33F4}"/>
    <cellStyle name="Note 3 3 3 2 3" xfId="12581" xr:uid="{E02252FE-ED10-4E29-906B-222E2552E329}"/>
    <cellStyle name="Note 3 3 3 2 4" xfId="21028" xr:uid="{D54B3FB3-E843-4649-B27A-F7C6FA98955D}"/>
    <cellStyle name="Note 3 3 3 3" xfId="5327" xr:uid="{00000000-0005-0000-0000-0000C2210000}"/>
    <cellStyle name="Note 3 3 3 3 2" xfId="14653" xr:uid="{DAD79534-6524-4D7D-806B-F6DF329AF4A3}"/>
    <cellStyle name="Note 3 3 3 3 3" xfId="23100" xr:uid="{D0DE0764-8F94-4378-BF10-BE883E49C705}"/>
    <cellStyle name="Note 3 3 3 4" xfId="9317" xr:uid="{171D8024-554D-4F15-BFD3-81CBE1A601EA}"/>
    <cellStyle name="Note 3 3 3 5" xfId="10436" xr:uid="{D9660ACB-2BE9-4EE8-9345-CB25A8ABD51B}"/>
    <cellStyle name="Note 3 3 3 6" xfId="18883" xr:uid="{AE270630-72FF-427C-A602-671C4D120F92}"/>
    <cellStyle name="Note 3 3 4" xfId="1433" xr:uid="{00000000-0005-0000-0000-0000C3210000}"/>
    <cellStyle name="Note 3 3 4 2" xfId="3663" xr:uid="{00000000-0005-0000-0000-0000C4210000}"/>
    <cellStyle name="Note 3 3 4 2 2" xfId="7885" xr:uid="{00000000-0005-0000-0000-0000C5210000}"/>
    <cellStyle name="Note 3 3 4 2 2 2" xfId="17211" xr:uid="{FBCBE50C-9C82-4451-955E-2A1FED22E0D5}"/>
    <cellStyle name="Note 3 3 4 2 2 3" xfId="25658" xr:uid="{9F02FFC4-7884-4DF9-AB85-F59430E07ECE}"/>
    <cellStyle name="Note 3 3 4 2 3" xfId="12994" xr:uid="{ED8E2889-5C5E-4FBF-91BA-B0F5E36EA008}"/>
    <cellStyle name="Note 3 3 4 2 4" xfId="21441" xr:uid="{0BF073CD-BC54-4B88-940F-97B9AC1C5B76}"/>
    <cellStyle name="Note 3 3 4 3" xfId="5740" xr:uid="{00000000-0005-0000-0000-0000C6210000}"/>
    <cellStyle name="Note 3 3 4 3 2" xfId="15066" xr:uid="{EAE93E79-271A-475C-99A3-AA799BA46039}"/>
    <cellStyle name="Note 3 3 4 3 3" xfId="23513" xr:uid="{484CCA99-6BB9-479E-889A-97D3A9BEE18A}"/>
    <cellStyle name="Note 3 3 4 4" xfId="10849" xr:uid="{B40374A4-9826-41F5-A831-10D280FED0E8}"/>
    <cellStyle name="Note 3 3 4 5" xfId="19296" xr:uid="{05D0EE6C-CAE2-46A5-A5AA-0C2ECAEB8170}"/>
    <cellStyle name="Note 3 3 5" xfId="1847" xr:uid="{00000000-0005-0000-0000-0000C7210000}"/>
    <cellStyle name="Note 3 3 5 2" xfId="4076" xr:uid="{00000000-0005-0000-0000-0000C8210000}"/>
    <cellStyle name="Note 3 3 5 2 2" xfId="8298" xr:uid="{00000000-0005-0000-0000-0000C9210000}"/>
    <cellStyle name="Note 3 3 5 2 2 2" xfId="17624" xr:uid="{D6AEDBE4-A873-4B7B-A27E-F13D77ACDF21}"/>
    <cellStyle name="Note 3 3 5 2 2 3" xfId="26071" xr:uid="{5A53FCB9-C500-4ABC-B21A-3557716F0323}"/>
    <cellStyle name="Note 3 3 5 2 3" xfId="13407" xr:uid="{18728A1C-921D-4F83-B9E0-AF1A7736D0DF}"/>
    <cellStyle name="Note 3 3 5 2 4" xfId="21854" xr:uid="{36F4CCC1-20A2-4E2A-B54F-1CC8C6C649EF}"/>
    <cellStyle name="Note 3 3 5 3" xfId="6153" xr:uid="{00000000-0005-0000-0000-0000CA210000}"/>
    <cellStyle name="Note 3 3 5 3 2" xfId="15479" xr:uid="{AF5215BB-AF10-4116-A828-CB9E5AB7691D}"/>
    <cellStyle name="Note 3 3 5 3 3" xfId="23926" xr:uid="{03AD2C6F-BC0B-40A2-A368-F8740EDFC46A}"/>
    <cellStyle name="Note 3 3 5 4" xfId="11262" xr:uid="{6C4340B4-F7F0-41DE-B858-7ADF1BC6AA6B}"/>
    <cellStyle name="Note 3 3 5 5" xfId="19709" xr:uid="{ABA28BA1-636E-47BB-8F42-56798FFA53E3}"/>
    <cellStyle name="Note 3 3 6" xfId="2260" xr:uid="{00000000-0005-0000-0000-0000CB210000}"/>
    <cellStyle name="Note 3 3 6 2" xfId="4489" xr:uid="{00000000-0005-0000-0000-0000CC210000}"/>
    <cellStyle name="Note 3 3 6 2 2" xfId="8711" xr:uid="{00000000-0005-0000-0000-0000CD210000}"/>
    <cellStyle name="Note 3 3 6 2 2 2" xfId="18037" xr:uid="{15D03E51-53D3-4C53-BFF3-477291A1473A}"/>
    <cellStyle name="Note 3 3 6 2 2 3" xfId="26484" xr:uid="{BA5A4EB1-4E1F-492D-9708-878AEB0B211F}"/>
    <cellStyle name="Note 3 3 6 2 3" xfId="13820" xr:uid="{4E1FD931-F6AF-4D7F-9FC9-4456B39A19AF}"/>
    <cellStyle name="Note 3 3 6 2 4" xfId="22267" xr:uid="{633D8674-7EF6-4CE0-9B34-48322B040DB1}"/>
    <cellStyle name="Note 3 3 6 3" xfId="6566" xr:uid="{00000000-0005-0000-0000-0000CE210000}"/>
    <cellStyle name="Note 3 3 6 3 2" xfId="15892" xr:uid="{8D9C21AA-511D-42A9-8CE2-4F8B005ADCC8}"/>
    <cellStyle name="Note 3 3 6 3 3" xfId="24339" xr:uid="{2D87B12D-B4C3-4B3D-AB44-9B009FEE41C4}"/>
    <cellStyle name="Note 3 3 6 4" xfId="11675" xr:uid="{D7E347E8-3E32-402F-88E5-1DC401DF711A}"/>
    <cellStyle name="Note 3 3 6 5" xfId="20122" xr:uid="{F6F8C63C-6F1B-4195-96D4-37FE02B1F26C}"/>
    <cellStyle name="Note 3 3 7" xfId="2696" xr:uid="{00000000-0005-0000-0000-0000CF210000}"/>
    <cellStyle name="Note 3 3 7 2" xfId="6979" xr:uid="{00000000-0005-0000-0000-0000D0210000}"/>
    <cellStyle name="Note 3 3 7 2 2" xfId="16305" xr:uid="{69257596-65C1-49D9-8F8B-FF1368097DE4}"/>
    <cellStyle name="Note 3 3 7 2 3" xfId="24752" xr:uid="{B6F1D1A0-8C15-42EE-A2D8-A014B3C640C2}"/>
    <cellStyle name="Note 3 3 7 3" xfId="12088" xr:uid="{0FCA84B6-A836-4BF6-82ED-8B64BE7340FB}"/>
    <cellStyle name="Note 3 3 7 4" xfId="20535" xr:uid="{A657E040-1E48-444C-BDE1-3DA0C251BFE6}"/>
    <cellStyle name="Note 3 3 8" xfId="2755" xr:uid="{00000000-0005-0000-0000-0000D1210000}"/>
    <cellStyle name="Note 3 3 9" xfId="2836" xr:uid="{00000000-0005-0000-0000-0000D2210000}"/>
    <cellStyle name="Note 3 3 9 2" xfId="7059" xr:uid="{00000000-0005-0000-0000-0000D3210000}"/>
    <cellStyle name="Note 3 3 9 2 2" xfId="16385" xr:uid="{04108A4B-9D30-42A6-BBB6-1008D919C74E}"/>
    <cellStyle name="Note 3 3 9 2 3" xfId="24832" xr:uid="{A5C15058-9BDB-40E3-9825-AD395EE89BE4}"/>
    <cellStyle name="Note 3 3 9 3" xfId="12168" xr:uid="{B72DF8ED-AA6A-486A-BCC8-629853A26DD9}"/>
    <cellStyle name="Note 3 3 9 4" xfId="20615" xr:uid="{A08B3786-0AEB-4344-8612-3ABC0C56AC42}"/>
    <cellStyle name="Note 3 4" xfId="560" xr:uid="{00000000-0005-0000-0000-0000D4210000}"/>
    <cellStyle name="Note 3 4 10" xfId="8996" xr:uid="{0D704BEA-0820-4E61-9EA3-F4C1E73C6543}"/>
    <cellStyle name="Note 3 4 11" xfId="10025" xr:uid="{B6E742CD-75B9-41B1-9A0A-30753FE4B5DF}"/>
    <cellStyle name="Note 3 4 12" xfId="18472" xr:uid="{DDDF861F-42CD-4A6E-A941-1E1CD66E0009}"/>
    <cellStyle name="Note 3 4 2" xfId="1020" xr:uid="{00000000-0005-0000-0000-0000D5210000}"/>
    <cellStyle name="Note 3 4 2 2" xfId="3252" xr:uid="{00000000-0005-0000-0000-0000D6210000}"/>
    <cellStyle name="Note 3 4 2 2 2" xfId="7474" xr:uid="{00000000-0005-0000-0000-0000D7210000}"/>
    <cellStyle name="Note 3 4 2 2 2 2" xfId="16800" xr:uid="{687C7D42-299B-4D33-B6D8-3F5DA34E37F5}"/>
    <cellStyle name="Note 3 4 2 2 2 3" xfId="25247" xr:uid="{B3DC3F74-4C0E-4EE1-AF71-88331B3AEECB}"/>
    <cellStyle name="Note 3 4 2 2 3" xfId="12583" xr:uid="{D9003440-CD5B-4A1A-948A-94567866D970}"/>
    <cellStyle name="Note 3 4 2 2 4" xfId="21030" xr:uid="{2E7CFBC9-7658-4CE5-A06E-54252E2BF96C}"/>
    <cellStyle name="Note 3 4 2 3" xfId="5329" xr:uid="{00000000-0005-0000-0000-0000D8210000}"/>
    <cellStyle name="Note 3 4 2 3 2" xfId="14655" xr:uid="{9342C339-7E38-4A14-B7B3-CF00F0BED761}"/>
    <cellStyle name="Note 3 4 2 3 3" xfId="23102" xr:uid="{EB8044B3-2B25-4C5A-95FD-0C1902EBADE0}"/>
    <cellStyle name="Note 3 4 2 4" xfId="9421" xr:uid="{EC0A57E0-416C-4EC5-866A-A09E44531CB5}"/>
    <cellStyle name="Note 3 4 2 5" xfId="10438" xr:uid="{813B1F87-EE86-47C0-974A-39D74C5818BE}"/>
    <cellStyle name="Note 3 4 2 6" xfId="18885" xr:uid="{8C6BCF0A-97BD-46B5-804D-5F99CBB294F3}"/>
    <cellStyle name="Note 3 4 3" xfId="1435" xr:uid="{00000000-0005-0000-0000-0000D9210000}"/>
    <cellStyle name="Note 3 4 3 2" xfId="3665" xr:uid="{00000000-0005-0000-0000-0000DA210000}"/>
    <cellStyle name="Note 3 4 3 2 2" xfId="7887" xr:uid="{00000000-0005-0000-0000-0000DB210000}"/>
    <cellStyle name="Note 3 4 3 2 2 2" xfId="17213" xr:uid="{25DB201D-3810-4BF1-868E-68CE105611CB}"/>
    <cellStyle name="Note 3 4 3 2 2 3" xfId="25660" xr:uid="{8FC6F6C7-1A4B-45EE-A686-70DA11F8F7E9}"/>
    <cellStyle name="Note 3 4 3 2 3" xfId="12996" xr:uid="{77077E38-80BF-4666-8A51-86D25B073474}"/>
    <cellStyle name="Note 3 4 3 2 4" xfId="21443" xr:uid="{DBFA410E-84BA-49C1-8B6D-69D6F72CCB76}"/>
    <cellStyle name="Note 3 4 3 3" xfId="5742" xr:uid="{00000000-0005-0000-0000-0000DC210000}"/>
    <cellStyle name="Note 3 4 3 3 2" xfId="15068" xr:uid="{B0129A14-A2BB-4B7F-8848-8934AD80CE10}"/>
    <cellStyle name="Note 3 4 3 3 3" xfId="23515" xr:uid="{46B1DAAC-EBF0-4D98-9F48-36DA3DA53260}"/>
    <cellStyle name="Note 3 4 3 4" xfId="10851" xr:uid="{4965B447-C7C0-42F8-B1AC-D9AA21369D65}"/>
    <cellStyle name="Note 3 4 3 5" xfId="19298" xr:uid="{FDCB1397-089B-4D5A-A822-C7784586869D}"/>
    <cellStyle name="Note 3 4 4" xfId="1849" xr:uid="{00000000-0005-0000-0000-0000DD210000}"/>
    <cellStyle name="Note 3 4 4 2" xfId="4078" xr:uid="{00000000-0005-0000-0000-0000DE210000}"/>
    <cellStyle name="Note 3 4 4 2 2" xfId="8300" xr:uid="{00000000-0005-0000-0000-0000DF210000}"/>
    <cellStyle name="Note 3 4 4 2 2 2" xfId="17626" xr:uid="{7EC7951D-A938-4110-A87E-A74A69E16D22}"/>
    <cellStyle name="Note 3 4 4 2 2 3" xfId="26073" xr:uid="{06B01667-83D5-4CF9-B7BB-D756FE9E6269}"/>
    <cellStyle name="Note 3 4 4 2 3" xfId="13409" xr:uid="{ED6CB426-14F5-4E49-BB60-164C22C4C7DF}"/>
    <cellStyle name="Note 3 4 4 2 4" xfId="21856" xr:uid="{7A765048-6E88-425D-97EA-60650EBD3806}"/>
    <cellStyle name="Note 3 4 4 3" xfId="6155" xr:uid="{00000000-0005-0000-0000-0000E0210000}"/>
    <cellStyle name="Note 3 4 4 3 2" xfId="15481" xr:uid="{FD88AACF-3366-4A04-BB15-2A183ABDDE6A}"/>
    <cellStyle name="Note 3 4 4 3 3" xfId="23928" xr:uid="{312EFB7A-9BE7-412A-910D-0DDA58DC6959}"/>
    <cellStyle name="Note 3 4 4 4" xfId="11264" xr:uid="{35192C51-CB9C-4D47-A614-2A019E438610}"/>
    <cellStyle name="Note 3 4 4 5" xfId="19711" xr:uid="{2840CB11-E4D8-4EE5-8AA6-4DEA14C237E5}"/>
    <cellStyle name="Note 3 4 5" xfId="2262" xr:uid="{00000000-0005-0000-0000-0000E1210000}"/>
    <cellStyle name="Note 3 4 5 2" xfId="4491" xr:uid="{00000000-0005-0000-0000-0000E2210000}"/>
    <cellStyle name="Note 3 4 5 2 2" xfId="8713" xr:uid="{00000000-0005-0000-0000-0000E3210000}"/>
    <cellStyle name="Note 3 4 5 2 2 2" xfId="18039" xr:uid="{F3A809A5-377D-4CBC-BAA9-76316C162143}"/>
    <cellStyle name="Note 3 4 5 2 2 3" xfId="26486" xr:uid="{EEF5177F-4CA0-4728-83D3-F256F6A087DE}"/>
    <cellStyle name="Note 3 4 5 2 3" xfId="13822" xr:uid="{01E44A92-2C00-4D8E-B9A8-B74A7DA23B9A}"/>
    <cellStyle name="Note 3 4 5 2 4" xfId="22269" xr:uid="{FE9AE0CD-F44D-4F8E-9400-A668B34626FD}"/>
    <cellStyle name="Note 3 4 5 3" xfId="6568" xr:uid="{00000000-0005-0000-0000-0000E4210000}"/>
    <cellStyle name="Note 3 4 5 3 2" xfId="15894" xr:uid="{A87CAB3D-8B21-49E9-9C30-80060DD0951A}"/>
    <cellStyle name="Note 3 4 5 3 3" xfId="24341" xr:uid="{A9D6A436-760A-40C0-ADC0-134499BBA6F9}"/>
    <cellStyle name="Note 3 4 5 4" xfId="11677" xr:uid="{BF63C14D-6F73-46E2-8272-8D6988BAE6DE}"/>
    <cellStyle name="Note 3 4 5 5" xfId="20124" xr:uid="{C09EA5B5-343F-4B78-8A2F-2EF15C377005}"/>
    <cellStyle name="Note 3 4 6" xfId="2698" xr:uid="{00000000-0005-0000-0000-0000E5210000}"/>
    <cellStyle name="Note 3 4 6 2" xfId="6981" xr:uid="{00000000-0005-0000-0000-0000E6210000}"/>
    <cellStyle name="Note 3 4 6 2 2" xfId="16307" xr:uid="{23D01A81-F7A5-4149-8708-17D5F23B8188}"/>
    <cellStyle name="Note 3 4 6 2 3" xfId="24754" xr:uid="{2C687AD5-5550-4127-A985-C65D0DC1AF0D}"/>
    <cellStyle name="Note 3 4 6 3" xfId="12090" xr:uid="{8CE52A71-DCA1-480E-A873-99E52C4F3224}"/>
    <cellStyle name="Note 3 4 6 4" xfId="20537" xr:uid="{E22D0555-61A6-4929-BC86-0564A1E5A641}"/>
    <cellStyle name="Note 3 4 7" xfId="2757" xr:uid="{00000000-0005-0000-0000-0000E7210000}"/>
    <cellStyle name="Note 3 4 8" xfId="2838" xr:uid="{00000000-0005-0000-0000-0000E8210000}"/>
    <cellStyle name="Note 3 4 8 2" xfId="7061" xr:uid="{00000000-0005-0000-0000-0000E9210000}"/>
    <cellStyle name="Note 3 4 8 2 2" xfId="16387" xr:uid="{F82882F0-6CEE-4535-8BFE-55EB009793E4}"/>
    <cellStyle name="Note 3 4 8 2 3" xfId="24834" xr:uid="{6171A90F-3C57-48C8-852D-F60B7A0E4150}"/>
    <cellStyle name="Note 3 4 8 3" xfId="12170" xr:uid="{1E6EC743-7E30-4DEC-ABDA-9FD324AF103D}"/>
    <cellStyle name="Note 3 4 8 4" xfId="20617" xr:uid="{DE445C94-0F49-4691-A55B-B9B1B75B8CC2}"/>
    <cellStyle name="Note 3 4 9" xfId="4916" xr:uid="{00000000-0005-0000-0000-0000EA210000}"/>
    <cellStyle name="Note 3 4 9 2" xfId="14242" xr:uid="{10C9A44B-20D0-4AE5-81CF-4D021F3BEBD6}"/>
    <cellStyle name="Note 3 4 9 3" xfId="22689" xr:uid="{783A09E4-F5D6-4DB0-BF86-659CD4C2CD75}"/>
    <cellStyle name="Note 3 5" xfId="561" xr:uid="{00000000-0005-0000-0000-0000EB210000}"/>
    <cellStyle name="Note 3 5 10" xfId="9213" xr:uid="{D9D7FB9A-B03C-4A97-A778-36731B43DF3F}"/>
    <cellStyle name="Note 3 5 11" xfId="10026" xr:uid="{E2CAC8E7-AB9E-48A0-81C0-CFEA84FA8E2A}"/>
    <cellStyle name="Note 3 5 12" xfId="18473" xr:uid="{74AC835A-A496-47A1-9C8A-E8D14FA06CF6}"/>
    <cellStyle name="Note 3 5 2" xfId="1021" xr:uid="{00000000-0005-0000-0000-0000EC210000}"/>
    <cellStyle name="Note 3 5 2 2" xfId="3253" xr:uid="{00000000-0005-0000-0000-0000ED210000}"/>
    <cellStyle name="Note 3 5 2 2 2" xfId="7475" xr:uid="{00000000-0005-0000-0000-0000EE210000}"/>
    <cellStyle name="Note 3 5 2 2 2 2" xfId="16801" xr:uid="{B8D4B868-01FE-4BBA-B0EF-022FB9E85602}"/>
    <cellStyle name="Note 3 5 2 2 2 3" xfId="25248" xr:uid="{5203549D-35D4-4281-BDB9-0A16C21A4170}"/>
    <cellStyle name="Note 3 5 2 2 3" xfId="12584" xr:uid="{BB8F6830-BF38-4C21-9B6B-D570E595DD7F}"/>
    <cellStyle name="Note 3 5 2 2 4" xfId="21031" xr:uid="{AC54C09D-F281-48E1-A323-CE86D0A9FC53}"/>
    <cellStyle name="Note 3 5 2 3" xfId="5330" xr:uid="{00000000-0005-0000-0000-0000EF210000}"/>
    <cellStyle name="Note 3 5 2 3 2" xfId="14656" xr:uid="{3D8FA23A-EF62-4BD8-8FE8-05B8FCDE2476}"/>
    <cellStyle name="Note 3 5 2 3 3" xfId="23103" xr:uid="{5F85BB05-C1E5-4B04-8696-A4FE7F979903}"/>
    <cellStyle name="Note 3 5 2 4" xfId="9611" xr:uid="{74765414-66B3-4FDA-BA21-3BFFEF98E338}"/>
    <cellStyle name="Note 3 5 2 5" xfId="10439" xr:uid="{ABD51D73-79B5-4EC0-81BC-062A03C00571}"/>
    <cellStyle name="Note 3 5 2 6" xfId="18886" xr:uid="{8837E538-79BC-4365-A36F-E790F50BCAE1}"/>
    <cellStyle name="Note 3 5 3" xfId="1436" xr:uid="{00000000-0005-0000-0000-0000F0210000}"/>
    <cellStyle name="Note 3 5 3 2" xfId="3666" xr:uid="{00000000-0005-0000-0000-0000F1210000}"/>
    <cellStyle name="Note 3 5 3 2 2" xfId="7888" xr:uid="{00000000-0005-0000-0000-0000F2210000}"/>
    <cellStyle name="Note 3 5 3 2 2 2" xfId="17214" xr:uid="{6B6E9BF9-D710-4219-A00B-11EB4EDB9FDF}"/>
    <cellStyle name="Note 3 5 3 2 2 3" xfId="25661" xr:uid="{0FF4446A-E71F-4048-B64C-FD3ECF090122}"/>
    <cellStyle name="Note 3 5 3 2 3" xfId="12997" xr:uid="{9CB6108A-44CE-4198-BB42-C0B8F0754A63}"/>
    <cellStyle name="Note 3 5 3 2 4" xfId="21444" xr:uid="{68F13BDF-1A8E-4958-9E40-27E0AF8591D7}"/>
    <cellStyle name="Note 3 5 3 3" xfId="5743" xr:uid="{00000000-0005-0000-0000-0000F3210000}"/>
    <cellStyle name="Note 3 5 3 3 2" xfId="15069" xr:uid="{5C35D45F-A635-46E5-8391-E14A9C0FB4DD}"/>
    <cellStyle name="Note 3 5 3 3 3" xfId="23516" xr:uid="{C5E97839-466A-4630-9387-4DEDC84A214B}"/>
    <cellStyle name="Note 3 5 3 4" xfId="10852" xr:uid="{381D809E-6DDD-4330-8A2F-8F78D5821117}"/>
    <cellStyle name="Note 3 5 3 5" xfId="19299" xr:uid="{75058115-34BE-4F3A-94B0-C9D44394FE6B}"/>
    <cellStyle name="Note 3 5 4" xfId="1850" xr:uid="{00000000-0005-0000-0000-0000F4210000}"/>
    <cellStyle name="Note 3 5 4 2" xfId="4079" xr:uid="{00000000-0005-0000-0000-0000F5210000}"/>
    <cellStyle name="Note 3 5 4 2 2" xfId="8301" xr:uid="{00000000-0005-0000-0000-0000F6210000}"/>
    <cellStyle name="Note 3 5 4 2 2 2" xfId="17627" xr:uid="{D880B0E6-6D7B-4BA5-A12D-5C2DBBED9764}"/>
    <cellStyle name="Note 3 5 4 2 2 3" xfId="26074" xr:uid="{1AC5EA83-0023-47B2-8DBB-DBB9BD18D81C}"/>
    <cellStyle name="Note 3 5 4 2 3" xfId="13410" xr:uid="{75A8EB58-D0C5-4E58-86B0-4528D74C8B4E}"/>
    <cellStyle name="Note 3 5 4 2 4" xfId="21857" xr:uid="{42E7F8E8-13A8-45BF-A6AC-B504B48BF8FF}"/>
    <cellStyle name="Note 3 5 4 3" xfId="6156" xr:uid="{00000000-0005-0000-0000-0000F7210000}"/>
    <cellStyle name="Note 3 5 4 3 2" xfId="15482" xr:uid="{418418C2-1173-484F-980E-1AE018375551}"/>
    <cellStyle name="Note 3 5 4 3 3" xfId="23929" xr:uid="{6B038314-31FA-4556-A549-80CCBC6CD545}"/>
    <cellStyle name="Note 3 5 4 4" xfId="11265" xr:uid="{0BE850F1-6E7D-4062-86BE-F150E6E3053B}"/>
    <cellStyle name="Note 3 5 4 5" xfId="19712" xr:uid="{94342FB8-276F-4F73-963C-95C59C3B7600}"/>
    <cellStyle name="Note 3 5 5" xfId="2263" xr:uid="{00000000-0005-0000-0000-0000F8210000}"/>
    <cellStyle name="Note 3 5 5 2" xfId="4492" xr:uid="{00000000-0005-0000-0000-0000F9210000}"/>
    <cellStyle name="Note 3 5 5 2 2" xfId="8714" xr:uid="{00000000-0005-0000-0000-0000FA210000}"/>
    <cellStyle name="Note 3 5 5 2 2 2" xfId="18040" xr:uid="{B893F1B6-32F8-4457-8F43-E9AB6AFC78CC}"/>
    <cellStyle name="Note 3 5 5 2 2 3" xfId="26487" xr:uid="{01A357C3-0699-4CCB-A9BC-4060B5742622}"/>
    <cellStyle name="Note 3 5 5 2 3" xfId="13823" xr:uid="{C1FF1C93-8B58-4938-8F5B-BB6F6E128839}"/>
    <cellStyle name="Note 3 5 5 2 4" xfId="22270" xr:uid="{91E9E54B-1954-4166-A7D8-491D795BF334}"/>
    <cellStyle name="Note 3 5 5 3" xfId="6569" xr:uid="{00000000-0005-0000-0000-0000FB210000}"/>
    <cellStyle name="Note 3 5 5 3 2" xfId="15895" xr:uid="{70C2CE50-0ACC-4E6A-A714-D83599885380}"/>
    <cellStyle name="Note 3 5 5 3 3" xfId="24342" xr:uid="{6A907538-18B3-482F-BDB0-23760DB11060}"/>
    <cellStyle name="Note 3 5 5 4" xfId="11678" xr:uid="{8368CB83-5677-46AA-9BAF-4DF883F5BEA2}"/>
    <cellStyle name="Note 3 5 5 5" xfId="20125" xr:uid="{24513516-5A4C-4A48-97E1-32783C7180A5}"/>
    <cellStyle name="Note 3 5 6" xfId="2699" xr:uid="{00000000-0005-0000-0000-0000FC210000}"/>
    <cellStyle name="Note 3 5 6 2" xfId="6982" xr:uid="{00000000-0005-0000-0000-0000FD210000}"/>
    <cellStyle name="Note 3 5 6 2 2" xfId="16308" xr:uid="{F96E555A-C014-466B-8FE7-35C736BCF971}"/>
    <cellStyle name="Note 3 5 6 2 3" xfId="24755" xr:uid="{AADF596B-A7F3-4FDE-83E8-3972CB06B97A}"/>
    <cellStyle name="Note 3 5 6 3" xfId="12091" xr:uid="{8314432F-9258-40B3-A83B-9DD5B917B1C6}"/>
    <cellStyle name="Note 3 5 6 4" xfId="20538" xr:uid="{13D8C732-C112-4FFF-93BE-693B7A59FDD1}"/>
    <cellStyle name="Note 3 5 7" xfId="2758" xr:uid="{00000000-0005-0000-0000-0000FE210000}"/>
    <cellStyle name="Note 3 5 8" xfId="2839" xr:uid="{00000000-0005-0000-0000-0000FF210000}"/>
    <cellStyle name="Note 3 5 8 2" xfId="7062" xr:uid="{00000000-0005-0000-0000-000000220000}"/>
    <cellStyle name="Note 3 5 8 2 2" xfId="16388" xr:uid="{5146C3F6-8714-4FCB-9645-2FDE6431D4C5}"/>
    <cellStyle name="Note 3 5 8 2 3" xfId="24835" xr:uid="{5945C63A-D256-4E3C-981F-8CD467550A18}"/>
    <cellStyle name="Note 3 5 8 3" xfId="12171" xr:uid="{1B2F12EF-DB63-4A42-A78C-E5181DC36690}"/>
    <cellStyle name="Note 3 5 8 4" xfId="20618" xr:uid="{17689C75-0CA4-4F00-891E-E9E53C94E529}"/>
    <cellStyle name="Note 3 5 9" xfId="4917" xr:uid="{00000000-0005-0000-0000-000001220000}"/>
    <cellStyle name="Note 3 5 9 2" xfId="14243" xr:uid="{E478A2AF-CA7F-4BD9-9F8A-FB5E7841A186}"/>
    <cellStyle name="Note 3 5 9 3" xfId="22690" xr:uid="{004E7777-9B5B-4FCF-899A-06AE7AE0639A}"/>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3" xfId="13826" xr:uid="{9E1C98F8-B906-4AB6-ACF0-09ADE08B6B5C}"/>
    <cellStyle name="Percent 3 4" xfId="22273" xr:uid="{0AF9AFEF-DDBE-42E5-92B8-6C75E35E38CA}"/>
    <cellStyle name="Percent 4" xfId="4502" xr:uid="{00000000-0005-0000-0000-000007220000}"/>
    <cellStyle name="Percent 4 2" xfId="8717" xr:uid="{00000000-0005-0000-0000-000008220000}"/>
    <cellStyle name="Percent 4 2 2" xfId="18043" xr:uid="{5948BA2C-9569-4561-940A-B700B4373E12}"/>
    <cellStyle name="Percent 4 2 3" xfId="26490" xr:uid="{CA27355F-D642-49BE-AE02-5076BF514AF7}"/>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3" xfId="18059" xr:uid="{580F96CB-08ED-4D86-A5F1-A87160B818A2}"/>
    <cellStyle name="Percent 4 3 2 2 2 2 4" xfId="26506" xr:uid="{02A87A27-3EF8-4721-B01E-6EE4E5F602DE}"/>
    <cellStyle name="Percent 4 3 2 2 2 3" xfId="18056" xr:uid="{8E3A1500-4BE6-40A6-B807-43BA262D735A}"/>
    <cellStyle name="Percent 4 3 2 2 2 4" xfId="26503" xr:uid="{B0382200-8235-4A4F-BD47-0810E850D83C}"/>
    <cellStyle name="Percent 4 3 2 2 3" xfId="18052" xr:uid="{31D577F0-5EB3-4085-978E-04ADCCF4A471}"/>
    <cellStyle name="Percent 4 3 2 2 4" xfId="26499" xr:uid="{A7AA3A4D-0D84-4E76-A9B6-410F09776252}"/>
    <cellStyle name="Percent 4 3 2 3" xfId="18049" xr:uid="{1B773CFF-E19A-49D5-A4D2-94130F06AFA5}"/>
    <cellStyle name="Percent 4 3 2 4" xfId="26496" xr:uid="{3A92E59C-836A-4787-8BE4-1FE4165FFF08}"/>
    <cellStyle name="Percent 4 3 3" xfId="18046" xr:uid="{030AB35F-D197-4B8B-AA5C-61EEBCA62396}"/>
    <cellStyle name="Percent 4 3 4" xfId="26493" xr:uid="{6720A180-BA7D-414F-A635-EF85B00454CD}"/>
    <cellStyle name="Percent 4 4" xfId="13829" xr:uid="{B6220350-951A-4B58-990B-D9F80851BD0D}"/>
    <cellStyle name="Percent 4 5" xfId="22276" xr:uid="{E48A0F91-E8E9-4427-A04E-172DF747436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574" t="s">
        <v>550</v>
      </c>
      <c r="B1" s="1574"/>
      <c r="C1" s="1574"/>
      <c r="D1" s="1574"/>
      <c r="E1" s="1574"/>
      <c r="F1" s="1574"/>
      <c r="G1" s="1574"/>
      <c r="H1" s="1574"/>
      <c r="I1" s="1574"/>
      <c r="J1" s="1574"/>
      <c r="K1" s="1574"/>
      <c r="L1" s="1574"/>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row>
    <row r="2" spans="1:38" ht="13.5" thickBot="1">
      <c r="A2" s="1809"/>
      <c r="B2" s="1809"/>
      <c r="C2" s="1809"/>
      <c r="D2" s="1809"/>
      <c r="E2" s="1809"/>
      <c r="F2" s="1809"/>
      <c r="G2" s="1809"/>
      <c r="H2" s="1809"/>
      <c r="I2" s="1809"/>
      <c r="J2" s="1809"/>
      <c r="K2" s="1809"/>
      <c r="L2" s="1809"/>
      <c r="M2" s="1809"/>
      <c r="N2" s="1809"/>
      <c r="O2" s="1809"/>
      <c r="P2" s="1809"/>
      <c r="Q2" s="1809"/>
      <c r="R2" s="1809"/>
      <c r="S2" s="1809"/>
      <c r="T2" s="1809"/>
      <c r="U2" s="1809"/>
      <c r="V2" s="1809"/>
      <c r="W2" s="1809"/>
      <c r="X2" s="1809"/>
      <c r="Y2" s="1809"/>
      <c r="Z2" s="1809"/>
      <c r="AA2" s="1809"/>
      <c r="AB2" s="1809"/>
      <c r="AC2" s="1809"/>
      <c r="AD2" s="1809"/>
      <c r="AE2" s="1809"/>
      <c r="AF2" s="1809"/>
      <c r="AG2" s="1809"/>
      <c r="AH2" s="1809"/>
      <c r="AI2" s="1809"/>
      <c r="AJ2" s="1809"/>
      <c r="AK2" s="1809"/>
      <c r="AL2" s="1809"/>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84" t="s">
        <v>1993</v>
      </c>
      <c r="E7" s="1484"/>
      <c r="F7" s="1484"/>
      <c r="G7" s="1484"/>
      <c r="H7" s="1484"/>
      <c r="I7" s="1484"/>
      <c r="J7" s="1484"/>
      <c r="K7" s="1484"/>
      <c r="L7" s="1484"/>
      <c r="M7" s="1484"/>
      <c r="N7" s="1484"/>
      <c r="O7" s="1484"/>
      <c r="P7" s="1484"/>
      <c r="Q7" s="1484"/>
      <c r="R7" s="1484"/>
      <c r="S7" s="1484"/>
      <c r="T7" s="1484"/>
      <c r="U7" s="1484"/>
      <c r="V7" s="1484"/>
      <c r="W7" s="1484"/>
      <c r="X7" s="1484"/>
      <c r="Y7" s="1484"/>
      <c r="Z7" s="1484"/>
      <c r="AA7" s="1484"/>
      <c r="AB7" s="1484"/>
      <c r="AC7" s="1484"/>
      <c r="AD7" s="1484"/>
      <c r="AE7" s="1484"/>
      <c r="AF7" s="1484"/>
      <c r="AG7" s="1484"/>
      <c r="AH7" s="1484"/>
      <c r="AI7" s="1484"/>
      <c r="AJ7" s="1484"/>
      <c r="AK7" s="1484"/>
      <c r="AL7" s="455"/>
    </row>
    <row r="8" spans="1:38">
      <c r="A8" s="204"/>
      <c r="B8" s="204"/>
      <c r="C8" s="205"/>
      <c r="D8" s="1484"/>
      <c r="E8" s="1484"/>
      <c r="F8" s="1484"/>
      <c r="G8" s="1484"/>
      <c r="H8" s="1484"/>
      <c r="I8" s="1484"/>
      <c r="J8" s="1484"/>
      <c r="K8" s="1484"/>
      <c r="L8" s="1484"/>
      <c r="M8" s="1484"/>
      <c r="N8" s="1484"/>
      <c r="O8" s="1484"/>
      <c r="P8" s="1484"/>
      <c r="Q8" s="1484"/>
      <c r="R8" s="1484"/>
      <c r="S8" s="1484"/>
      <c r="T8" s="1484"/>
      <c r="U8" s="1484"/>
      <c r="V8" s="1484"/>
      <c r="W8" s="1484"/>
      <c r="X8" s="1484"/>
      <c r="Y8" s="1484"/>
      <c r="Z8" s="1484"/>
      <c r="AA8" s="1484"/>
      <c r="AB8" s="1484"/>
      <c r="AC8" s="1484"/>
      <c r="AD8" s="1484"/>
      <c r="AE8" s="1484"/>
      <c r="AF8" s="1484"/>
      <c r="AG8" s="1484"/>
      <c r="AH8" s="1484"/>
      <c r="AI8" s="1484"/>
      <c r="AJ8" s="1484"/>
      <c r="AK8" s="1484"/>
      <c r="AL8" s="455"/>
    </row>
    <row r="9" spans="1:38">
      <c r="A9" s="204"/>
      <c r="B9" s="204"/>
      <c r="C9" s="205"/>
      <c r="D9" s="1484"/>
      <c r="E9" s="1484"/>
      <c r="F9" s="1484"/>
      <c r="G9" s="1484"/>
      <c r="H9" s="1484"/>
      <c r="I9" s="1484"/>
      <c r="J9" s="1484"/>
      <c r="K9" s="1484"/>
      <c r="L9" s="1484"/>
      <c r="M9" s="1484"/>
      <c r="N9" s="1484"/>
      <c r="O9" s="1484"/>
      <c r="P9" s="1484"/>
      <c r="Q9" s="1484"/>
      <c r="R9" s="1484"/>
      <c r="S9" s="1484"/>
      <c r="T9" s="1484"/>
      <c r="U9" s="1484"/>
      <c r="V9" s="1484"/>
      <c r="W9" s="1484"/>
      <c r="X9" s="1484"/>
      <c r="Y9" s="1484"/>
      <c r="Z9" s="1484"/>
      <c r="AA9" s="1484"/>
      <c r="AB9" s="1484"/>
      <c r="AC9" s="1484"/>
      <c r="AD9" s="1484"/>
      <c r="AE9" s="1484"/>
      <c r="AF9" s="1484"/>
      <c r="AG9" s="1484"/>
      <c r="AH9" s="1484"/>
      <c r="AI9" s="1484"/>
      <c r="AJ9" s="1484"/>
      <c r="AK9" s="1484"/>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84" t="s">
        <v>1994</v>
      </c>
      <c r="E11" s="1484"/>
      <c r="F11" s="1484"/>
      <c r="G11" s="1484"/>
      <c r="H11" s="1484"/>
      <c r="I11" s="1484"/>
      <c r="J11" s="1484"/>
      <c r="K11" s="1484"/>
      <c r="L11" s="1484"/>
      <c r="M11" s="1484"/>
      <c r="N11" s="1484"/>
      <c r="O11" s="1484"/>
      <c r="P11" s="1484"/>
      <c r="Q11" s="1484"/>
      <c r="R11" s="1484"/>
      <c r="S11" s="1484"/>
      <c r="T11" s="1484"/>
      <c r="U11" s="1484"/>
      <c r="V11" s="1484"/>
      <c r="W11" s="1484"/>
      <c r="X11" s="1484"/>
      <c r="Y11" s="1484"/>
      <c r="Z11" s="1484"/>
      <c r="AA11" s="1484"/>
      <c r="AB11" s="1484"/>
      <c r="AC11" s="1484"/>
      <c r="AD11" s="1484"/>
      <c r="AE11" s="1484"/>
      <c r="AF11" s="1484"/>
      <c r="AG11" s="1484"/>
      <c r="AH11" s="1484"/>
      <c r="AI11" s="1484"/>
      <c r="AJ11" s="1484"/>
      <c r="AK11" s="1484"/>
      <c r="AL11" s="455"/>
    </row>
    <row r="12" spans="1:38">
      <c r="A12" s="204"/>
      <c r="B12" s="204"/>
      <c r="C12" s="205"/>
      <c r="D12" s="1484"/>
      <c r="E12" s="1484"/>
      <c r="F12" s="1484"/>
      <c r="G12" s="1484"/>
      <c r="H12" s="1484"/>
      <c r="I12" s="1484"/>
      <c r="J12" s="1484"/>
      <c r="K12" s="1484"/>
      <c r="L12" s="1484"/>
      <c r="M12" s="1484"/>
      <c r="N12" s="1484"/>
      <c r="O12" s="1484"/>
      <c r="P12" s="1484"/>
      <c r="Q12" s="1484"/>
      <c r="R12" s="1484"/>
      <c r="S12" s="1484"/>
      <c r="T12" s="1484"/>
      <c r="U12" s="1484"/>
      <c r="V12" s="1484"/>
      <c r="W12" s="1484"/>
      <c r="X12" s="1484"/>
      <c r="Y12" s="1484"/>
      <c r="Z12" s="1484"/>
      <c r="AA12" s="1484"/>
      <c r="AB12" s="1484"/>
      <c r="AC12" s="1484"/>
      <c r="AD12" s="1484"/>
      <c r="AE12" s="1484"/>
      <c r="AF12" s="1484"/>
      <c r="AG12" s="1484"/>
      <c r="AH12" s="1484"/>
      <c r="AI12" s="1484"/>
      <c r="AJ12" s="1484"/>
      <c r="AK12" s="1484"/>
      <c r="AL12" s="455"/>
    </row>
    <row r="13" spans="1:38">
      <c r="A13" s="204"/>
      <c r="B13" s="204"/>
      <c r="C13" s="205"/>
      <c r="D13" s="1484"/>
      <c r="E13" s="1484"/>
      <c r="F13" s="1484"/>
      <c r="G13" s="1484"/>
      <c r="H13" s="1484"/>
      <c r="I13" s="1484"/>
      <c r="J13" s="1484"/>
      <c r="K13" s="1484"/>
      <c r="L13" s="1484"/>
      <c r="M13" s="1484"/>
      <c r="N13" s="1484"/>
      <c r="O13" s="1484"/>
      <c r="P13" s="1484"/>
      <c r="Q13" s="1484"/>
      <c r="R13" s="1484"/>
      <c r="S13" s="1484"/>
      <c r="T13" s="1484"/>
      <c r="U13" s="1484"/>
      <c r="V13" s="1484"/>
      <c r="W13" s="1484"/>
      <c r="X13" s="1484"/>
      <c r="Y13" s="1484"/>
      <c r="Z13" s="1484"/>
      <c r="AA13" s="1484"/>
      <c r="AB13" s="1484"/>
      <c r="AC13" s="1484"/>
      <c r="AD13" s="1484"/>
      <c r="AE13" s="1484"/>
      <c r="AF13" s="1484"/>
      <c r="AG13" s="1484"/>
      <c r="AH13" s="1484"/>
      <c r="AI13" s="1484"/>
      <c r="AJ13" s="1484"/>
      <c r="AK13" s="1484"/>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84" t="s">
        <v>2528</v>
      </c>
      <c r="E15" s="1484"/>
      <c r="F15" s="1484"/>
      <c r="G15" s="1484"/>
      <c r="H15" s="1484"/>
      <c r="I15" s="1484"/>
      <c r="J15" s="1484"/>
      <c r="K15" s="1484"/>
      <c r="L15" s="1484"/>
      <c r="M15" s="1484"/>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c r="AL15" s="455"/>
    </row>
    <row r="16" spans="1:38" ht="13.15" customHeight="1">
      <c r="A16" s="204"/>
      <c r="B16" s="204"/>
      <c r="C16" s="205"/>
      <c r="D16" s="1484"/>
      <c r="E16" s="1484"/>
      <c r="F16" s="1484"/>
      <c r="G16" s="1484"/>
      <c r="H16" s="1484"/>
      <c r="I16" s="1484"/>
      <c r="J16" s="1484"/>
      <c r="K16" s="1484"/>
      <c r="L16" s="1484"/>
      <c r="M16" s="1484"/>
      <c r="N16" s="1484"/>
      <c r="O16" s="1484"/>
      <c r="P16" s="1484"/>
      <c r="Q16" s="1484"/>
      <c r="R16" s="1484"/>
      <c r="S16" s="1484"/>
      <c r="T16" s="1484"/>
      <c r="U16" s="1484"/>
      <c r="V16" s="1484"/>
      <c r="W16" s="1484"/>
      <c r="X16" s="1484"/>
      <c r="Y16" s="1484"/>
      <c r="Z16" s="1484"/>
      <c r="AA16" s="1484"/>
      <c r="AB16" s="1484"/>
      <c r="AC16" s="1484"/>
      <c r="AD16" s="1484"/>
      <c r="AE16" s="1484"/>
      <c r="AF16" s="1484"/>
      <c r="AG16" s="1484"/>
      <c r="AH16" s="1484"/>
      <c r="AI16" s="1484"/>
      <c r="AJ16" s="1484"/>
      <c r="AK16" s="1484"/>
      <c r="AL16" s="455"/>
    </row>
    <row r="17" spans="1:38">
      <c r="A17" s="204"/>
      <c r="B17" s="204"/>
      <c r="C17" s="205"/>
      <c r="D17" s="1484"/>
      <c r="E17" s="1484"/>
      <c r="F17" s="1484"/>
      <c r="G17" s="1484"/>
      <c r="H17" s="1484"/>
      <c r="I17" s="1484"/>
      <c r="J17" s="1484"/>
      <c r="K17" s="1484"/>
      <c r="L17" s="1484"/>
      <c r="M17" s="1484"/>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c r="AL17" s="455"/>
    </row>
    <row r="18" spans="1:38">
      <c r="A18" s="204"/>
      <c r="B18" s="204"/>
      <c r="C18" s="205"/>
      <c r="D18" s="519" t="s">
        <v>2527</v>
      </c>
      <c r="E18" s="441"/>
      <c r="G18" s="441"/>
      <c r="H18" s="441"/>
      <c r="I18" s="441"/>
      <c r="J18" s="1811" t="s">
        <v>2526</v>
      </c>
      <c r="K18" s="1811"/>
      <c r="L18" s="1811"/>
      <c r="M18" s="1811"/>
      <c r="N18" s="1811"/>
      <c r="O18" s="1811"/>
      <c r="P18" s="1811"/>
      <c r="Q18" s="1811"/>
      <c r="R18" s="1811"/>
      <c r="S18" s="1811"/>
      <c r="T18" s="1811"/>
      <c r="U18" s="1811"/>
      <c r="V18" s="1811"/>
      <c r="W18" s="1811"/>
      <c r="X18" s="1811"/>
      <c r="Y18" s="1811"/>
      <c r="Z18" s="1811"/>
      <c r="AA18" s="1811"/>
      <c r="AB18" s="1811"/>
      <c r="AC18" s="1811"/>
      <c r="AD18" s="1811"/>
      <c r="AE18" s="1811"/>
      <c r="AF18" s="1811"/>
      <c r="AG18" s="1811"/>
      <c r="AH18" s="1811"/>
      <c r="AI18" s="1811"/>
      <c r="AJ18" s="1811"/>
      <c r="AK18" s="1811"/>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84" t="s">
        <v>1995</v>
      </c>
      <c r="E20" s="1484"/>
      <c r="F20" s="1484"/>
      <c r="G20" s="1484"/>
      <c r="H20" s="1484"/>
      <c r="I20" s="1484"/>
      <c r="J20" s="1484"/>
      <c r="K20" s="1484"/>
      <c r="L20" s="1484"/>
      <c r="M20" s="1484"/>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c r="AL20" s="204"/>
    </row>
    <row r="21" spans="1:38">
      <c r="A21" s="204"/>
      <c r="B21" s="204"/>
      <c r="C21" s="205"/>
      <c r="D21" s="1484"/>
      <c r="E21" s="1484"/>
      <c r="F21" s="1484"/>
      <c r="G21" s="1484"/>
      <c r="H21" s="1484"/>
      <c r="I21" s="1484"/>
      <c r="J21" s="1484"/>
      <c r="K21" s="1484"/>
      <c r="L21" s="1484"/>
      <c r="M21" s="1484"/>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c r="AL21" s="204"/>
    </row>
    <row r="22" spans="1:38">
      <c r="A22" s="204"/>
      <c r="B22" s="204"/>
      <c r="C22" s="205"/>
      <c r="D22" s="1484"/>
      <c r="E22" s="1484"/>
      <c r="F22" s="1484"/>
      <c r="G22" s="1484"/>
      <c r="H22" s="1484"/>
      <c r="I22" s="1484"/>
      <c r="J22" s="1484"/>
      <c r="K22" s="1484"/>
      <c r="L22" s="1484"/>
      <c r="M22" s="1484"/>
      <c r="N22" s="1484"/>
      <c r="O22" s="1484"/>
      <c r="P22" s="1484"/>
      <c r="Q22" s="1484"/>
      <c r="R22" s="1484"/>
      <c r="S22" s="1484"/>
      <c r="T22" s="1484"/>
      <c r="U22" s="1484"/>
      <c r="V22" s="1484"/>
      <c r="W22" s="1484"/>
      <c r="X22" s="1484"/>
      <c r="Y22" s="1484"/>
      <c r="Z22" s="1484"/>
      <c r="AA22" s="1484"/>
      <c r="AB22" s="1484"/>
      <c r="AC22" s="1484"/>
      <c r="AD22" s="1484"/>
      <c r="AE22" s="1484"/>
      <c r="AF22" s="1484"/>
      <c r="AG22" s="1484"/>
      <c r="AH22" s="1484"/>
      <c r="AI22" s="1484"/>
      <c r="AJ22" s="1484"/>
      <c r="AK22" s="1484"/>
      <c r="AL22" s="204"/>
    </row>
    <row r="23" spans="1:38" ht="13.15" customHeight="1">
      <c r="A23" s="204"/>
      <c r="B23" s="204"/>
      <c r="C23" s="205"/>
      <c r="D23" s="1484"/>
      <c r="E23" s="1484"/>
      <c r="F23" s="1484"/>
      <c r="G23" s="1484"/>
      <c r="H23" s="1484"/>
      <c r="I23" s="1484"/>
      <c r="J23" s="1484"/>
      <c r="K23" s="1484"/>
      <c r="L23" s="1484"/>
      <c r="M23" s="1484"/>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c r="AL23" s="204"/>
    </row>
    <row r="24" spans="1:38">
      <c r="A24" s="204"/>
      <c r="B24" s="204"/>
      <c r="C24" s="205"/>
      <c r="D24" s="1484"/>
      <c r="E24" s="1484"/>
      <c r="F24" s="1484"/>
      <c r="G24" s="1484"/>
      <c r="H24" s="1484"/>
      <c r="I24" s="1484"/>
      <c r="J24" s="1484"/>
      <c r="K24" s="1484"/>
      <c r="L24" s="1484"/>
      <c r="M24" s="1484"/>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c r="AL24" s="204"/>
    </row>
    <row r="25" spans="1:38">
      <c r="A25" s="204"/>
      <c r="B25" s="204"/>
      <c r="C25" s="205"/>
      <c r="D25" s="1484"/>
      <c r="E25" s="1484"/>
      <c r="F25" s="1484"/>
      <c r="G25" s="1484"/>
      <c r="H25" s="1484"/>
      <c r="I25" s="1484"/>
      <c r="J25" s="1484"/>
      <c r="K25" s="1484"/>
      <c r="L25" s="1484"/>
      <c r="M25" s="1484"/>
      <c r="N25" s="1484"/>
      <c r="O25" s="1484"/>
      <c r="P25" s="1484"/>
      <c r="Q25" s="1484"/>
      <c r="R25" s="1484"/>
      <c r="S25" s="1484"/>
      <c r="T25" s="1484"/>
      <c r="U25" s="1484"/>
      <c r="V25" s="1484"/>
      <c r="W25" s="1484"/>
      <c r="X25" s="1484"/>
      <c r="Y25" s="1484"/>
      <c r="Z25" s="1484"/>
      <c r="AA25" s="1484"/>
      <c r="AB25" s="1484"/>
      <c r="AC25" s="1484"/>
      <c r="AD25" s="1484"/>
      <c r="AE25" s="1484"/>
      <c r="AF25" s="1484"/>
      <c r="AG25" s="1484"/>
      <c r="AH25" s="1484"/>
      <c r="AI25" s="1484"/>
      <c r="AJ25" s="1484"/>
      <c r="AK25" s="1484"/>
      <c r="AL25" s="204"/>
    </row>
    <row r="26" spans="1:38">
      <c r="A26" s="204"/>
      <c r="B26" s="204"/>
      <c r="C26" s="205"/>
      <c r="D26" s="1484"/>
      <c r="E26" s="1484"/>
      <c r="F26" s="1484"/>
      <c r="G26" s="1484"/>
      <c r="H26" s="1484"/>
      <c r="I26" s="1484"/>
      <c r="J26" s="1484"/>
      <c r="K26" s="1484"/>
      <c r="L26" s="1484"/>
      <c r="M26" s="1484"/>
      <c r="N26" s="1484"/>
      <c r="O26" s="1484"/>
      <c r="P26" s="1484"/>
      <c r="Q26" s="1484"/>
      <c r="R26" s="1484"/>
      <c r="S26" s="1484"/>
      <c r="T26" s="1484"/>
      <c r="U26" s="1484"/>
      <c r="V26" s="1484"/>
      <c r="W26" s="1484"/>
      <c r="X26" s="1484"/>
      <c r="Y26" s="1484"/>
      <c r="Z26" s="1484"/>
      <c r="AA26" s="1484"/>
      <c r="AB26" s="1484"/>
      <c r="AC26" s="1484"/>
      <c r="AD26" s="1484"/>
      <c r="AE26" s="1484"/>
      <c r="AF26" s="1484"/>
      <c r="AG26" s="1484"/>
      <c r="AH26" s="1484"/>
      <c r="AI26" s="1484"/>
      <c r="AJ26" s="1484"/>
      <c r="AK26" s="1484"/>
      <c r="AL26" s="204"/>
    </row>
    <row r="27" spans="1:38">
      <c r="A27" s="204"/>
      <c r="B27" s="204"/>
      <c r="C27" s="205"/>
      <c r="D27" s="1484"/>
      <c r="E27" s="1484"/>
      <c r="F27" s="1484"/>
      <c r="G27" s="1484"/>
      <c r="H27" s="1484"/>
      <c r="I27" s="1484"/>
      <c r="J27" s="1484"/>
      <c r="K27" s="1484"/>
      <c r="L27" s="1484"/>
      <c r="M27" s="1484"/>
      <c r="N27" s="1484"/>
      <c r="O27" s="1484"/>
      <c r="P27" s="1484"/>
      <c r="Q27" s="1484"/>
      <c r="R27" s="1484"/>
      <c r="S27" s="1484"/>
      <c r="T27" s="1484"/>
      <c r="U27" s="1484"/>
      <c r="V27" s="1484"/>
      <c r="W27" s="1484"/>
      <c r="X27" s="1484"/>
      <c r="Y27" s="1484"/>
      <c r="Z27" s="1484"/>
      <c r="AA27" s="1484"/>
      <c r="AB27" s="1484"/>
      <c r="AC27" s="1484"/>
      <c r="AD27" s="1484"/>
      <c r="AE27" s="1484"/>
      <c r="AF27" s="1484"/>
      <c r="AG27" s="1484"/>
      <c r="AH27" s="1484"/>
      <c r="AI27" s="1484"/>
      <c r="AJ27" s="1484"/>
      <c r="AK27" s="1484"/>
      <c r="AL27" s="204"/>
    </row>
    <row r="28" spans="1:38">
      <c r="A28" s="204"/>
      <c r="B28" s="204"/>
      <c r="C28" s="205"/>
      <c r="D28" s="1484"/>
      <c r="E28" s="1484"/>
      <c r="F28" s="1484"/>
      <c r="G28" s="1484"/>
      <c r="H28" s="1484"/>
      <c r="I28" s="1484"/>
      <c r="J28" s="1484"/>
      <c r="K28" s="1484"/>
      <c r="L28" s="1484"/>
      <c r="M28" s="1484"/>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84" t="s">
        <v>1996</v>
      </c>
      <c r="E30" s="1484"/>
      <c r="F30" s="1484"/>
      <c r="G30" s="1484"/>
      <c r="H30" s="1484"/>
      <c r="I30" s="1484"/>
      <c r="J30" s="1484"/>
      <c r="K30" s="1484"/>
      <c r="L30" s="1484"/>
      <c r="M30" s="1484"/>
      <c r="N30" s="1484"/>
      <c r="O30" s="1484"/>
      <c r="P30" s="1484"/>
      <c r="Q30" s="1484"/>
      <c r="R30" s="1484"/>
      <c r="S30" s="1484"/>
      <c r="T30" s="1484"/>
      <c r="U30" s="1484"/>
      <c r="V30" s="1484"/>
      <c r="W30" s="1484"/>
      <c r="X30" s="1484"/>
      <c r="Y30" s="1484"/>
      <c r="Z30" s="1484"/>
      <c r="AA30" s="1484"/>
      <c r="AB30" s="1484"/>
      <c r="AC30" s="1484"/>
      <c r="AD30" s="1484"/>
      <c r="AE30" s="1484"/>
      <c r="AF30" s="1484"/>
      <c r="AG30" s="1484"/>
      <c r="AH30" s="1484"/>
      <c r="AI30" s="1484"/>
      <c r="AJ30" s="1484"/>
      <c r="AK30" s="1484"/>
      <c r="AL30" s="204"/>
    </row>
    <row r="31" spans="1:38">
      <c r="A31" s="204"/>
      <c r="B31" s="204"/>
      <c r="C31" s="205"/>
      <c r="D31" s="455"/>
      <c r="E31" s="1801" t="s">
        <v>2602</v>
      </c>
      <c r="F31" s="1802"/>
      <c r="G31" s="1802"/>
      <c r="H31" s="1802"/>
      <c r="I31" s="1802"/>
      <c r="J31" s="1802"/>
      <c r="K31" s="1802"/>
      <c r="L31" s="1802"/>
      <c r="M31" s="1802"/>
      <c r="N31" s="1802"/>
      <c r="O31" s="1802"/>
      <c r="P31" s="1802"/>
      <c r="Q31" s="1802"/>
      <c r="R31" s="1802"/>
      <c r="S31" s="1802"/>
      <c r="T31" s="1802"/>
      <c r="U31" s="1802"/>
      <c r="V31" s="1802"/>
      <c r="W31" s="1802"/>
      <c r="X31" s="1802"/>
      <c r="Y31" s="1802"/>
      <c r="Z31" s="1802"/>
      <c r="AA31" s="1802"/>
      <c r="AB31" s="1802"/>
      <c r="AC31" s="1802"/>
      <c r="AD31" s="1802"/>
      <c r="AE31" s="1802"/>
      <c r="AF31" s="1802"/>
      <c r="AG31" s="1802"/>
      <c r="AH31" s="1802"/>
      <c r="AI31" s="1802"/>
      <c r="AJ31" s="1802"/>
      <c r="AK31" s="1802"/>
      <c r="AL31" s="204"/>
    </row>
    <row r="32" spans="1:38">
      <c r="A32" s="4"/>
      <c r="C32" s="2"/>
    </row>
    <row r="33" spans="1:38">
      <c r="A33" s="4"/>
      <c r="D33" s="1810" t="s">
        <v>2096</v>
      </c>
      <c r="E33" s="1810"/>
      <c r="F33" s="1810"/>
      <c r="G33" s="1810"/>
      <c r="H33" s="1810"/>
      <c r="I33" s="1810"/>
      <c r="J33" s="1810"/>
      <c r="K33" s="1810"/>
      <c r="L33" s="1810"/>
      <c r="M33" s="1810"/>
      <c r="N33" s="1810"/>
      <c r="O33" s="1810"/>
      <c r="P33" s="1810"/>
      <c r="Q33" s="1810"/>
      <c r="R33" s="1810"/>
      <c r="S33" s="1810"/>
      <c r="T33" s="1810"/>
      <c r="U33" s="1810"/>
      <c r="V33" s="1810"/>
      <c r="W33" s="1810"/>
      <c r="X33" s="1810"/>
      <c r="Y33" s="1810"/>
      <c r="Z33" s="1810"/>
      <c r="AA33" s="1810"/>
      <c r="AB33" s="1810"/>
      <c r="AC33" s="1810"/>
      <c r="AD33" s="1810"/>
      <c r="AE33" s="1810"/>
      <c r="AF33" s="1810"/>
      <c r="AG33" s="1810"/>
      <c r="AH33" s="1810"/>
      <c r="AI33" s="1810"/>
      <c r="AJ33" s="1810"/>
      <c r="AK33" s="1810"/>
    </row>
    <row r="34" spans="1:38">
      <c r="A34" s="4"/>
      <c r="D34" s="1810"/>
      <c r="E34" s="1810"/>
      <c r="F34" s="1810"/>
      <c r="G34" s="1810"/>
      <c r="H34" s="1810"/>
      <c r="I34" s="1810"/>
      <c r="J34" s="1810"/>
      <c r="K34" s="1810"/>
      <c r="L34" s="1810"/>
      <c r="M34" s="1810"/>
      <c r="N34" s="1810"/>
      <c r="O34" s="1810"/>
      <c r="P34" s="1810"/>
      <c r="Q34" s="1810"/>
      <c r="R34" s="1810"/>
      <c r="S34" s="1810"/>
      <c r="T34" s="1810"/>
      <c r="U34" s="1810"/>
      <c r="V34" s="1810"/>
      <c r="W34" s="1810"/>
      <c r="X34" s="1810"/>
      <c r="Y34" s="1810"/>
      <c r="Z34" s="1810"/>
      <c r="AA34" s="1810"/>
      <c r="AB34" s="1810"/>
      <c r="AC34" s="1810"/>
      <c r="AD34" s="1810"/>
      <c r="AE34" s="1810"/>
      <c r="AF34" s="1810"/>
      <c r="AG34" s="1810"/>
      <c r="AH34" s="1810"/>
      <c r="AI34" s="1810"/>
      <c r="AJ34" s="1810"/>
      <c r="AK34" s="1810"/>
    </row>
    <row r="35" spans="1:38">
      <c r="A35" s="4"/>
      <c r="D35" s="120"/>
      <c r="E35" s="1806" t="s">
        <v>2603</v>
      </c>
      <c r="F35" s="1806"/>
      <c r="G35" s="1806"/>
      <c r="H35" s="1806"/>
      <c r="I35" s="1806"/>
      <c r="J35" s="1806"/>
      <c r="K35" s="1806"/>
      <c r="L35" s="1806"/>
      <c r="M35" s="1806"/>
      <c r="N35" s="1806"/>
      <c r="O35" s="1806"/>
      <c r="P35" s="1806"/>
      <c r="Q35" s="1806"/>
      <c r="R35" s="1806"/>
      <c r="S35" s="1806"/>
      <c r="T35" s="1806"/>
      <c r="U35" s="1806"/>
      <c r="V35" s="1806"/>
      <c r="W35" s="1806"/>
      <c r="X35" s="1806"/>
      <c r="Y35" s="1806"/>
      <c r="Z35" s="1806"/>
      <c r="AA35" s="1806"/>
      <c r="AB35" s="1806"/>
      <c r="AC35" s="1806"/>
      <c r="AD35" s="1806"/>
      <c r="AE35" s="1806"/>
      <c r="AF35" s="1806"/>
      <c r="AG35" s="1806"/>
      <c r="AH35" s="1806"/>
      <c r="AI35" s="1806"/>
      <c r="AJ35" s="1806"/>
      <c r="AK35" s="1806"/>
    </row>
    <row r="36" spans="1:38">
      <c r="A36" s="4"/>
      <c r="D36" s="120"/>
      <c r="E36" s="1806" t="s">
        <v>2604</v>
      </c>
      <c r="F36" s="1806"/>
      <c r="G36" s="1806"/>
      <c r="H36" s="1806"/>
      <c r="I36" s="1806"/>
      <c r="J36" s="1806"/>
      <c r="K36" s="1806"/>
      <c r="L36" s="1806"/>
      <c r="M36" s="1806"/>
      <c r="N36" s="1806"/>
      <c r="O36" s="1806"/>
      <c r="P36" s="1806"/>
      <c r="Q36" s="1806"/>
      <c r="R36" s="1806"/>
      <c r="S36" s="1806"/>
      <c r="T36" s="1806"/>
      <c r="U36" s="1806"/>
      <c r="V36" s="1806"/>
      <c r="W36" s="1806"/>
      <c r="X36" s="1806"/>
      <c r="Y36" s="1806"/>
      <c r="Z36" s="1806"/>
      <c r="AA36" s="1806"/>
      <c r="AB36" s="1806"/>
      <c r="AC36" s="1806"/>
      <c r="AD36" s="1806"/>
      <c r="AE36" s="1806"/>
      <c r="AF36" s="1806"/>
      <c r="AG36" s="1806"/>
      <c r="AH36" s="1806"/>
      <c r="AI36" s="1806"/>
      <c r="AJ36" s="1806"/>
      <c r="AK36" s="180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84" customFormat="1" ht="13.15" customHeight="1">
      <c r="A40" s="4"/>
      <c r="B40"/>
      <c r="C40" s="2"/>
      <c r="D40" s="4"/>
      <c r="E40" s="4" t="s">
        <v>653</v>
      </c>
      <c r="F40" s="1484" t="s">
        <v>1164</v>
      </c>
    </row>
    <row r="41" spans="1:38" s="1484"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515" t="s">
        <v>1246</v>
      </c>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c r="AI43" s="1515"/>
      <c r="AJ43" s="1515"/>
      <c r="AK43" s="1515"/>
      <c r="AL43" s="1515"/>
    </row>
    <row r="44" spans="1:38" s="118" customFormat="1">
      <c r="A44" s="4"/>
      <c r="B44"/>
      <c r="C44" s="2"/>
      <c r="D44" s="4"/>
      <c r="E44" s="4"/>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c r="AB44" s="1515"/>
      <c r="AC44" s="1515"/>
      <c r="AD44" s="1515"/>
      <c r="AE44" s="1515"/>
      <c r="AF44" s="1515"/>
      <c r="AG44" s="1515"/>
      <c r="AH44" s="1515"/>
      <c r="AI44" s="1515"/>
      <c r="AJ44" s="1515"/>
      <c r="AK44" s="1515"/>
      <c r="AL44" s="1515"/>
    </row>
    <row r="45" spans="1:38" s="118" customFormat="1" ht="13.15" customHeight="1">
      <c r="A45" s="4"/>
      <c r="B45"/>
      <c r="C45" s="2"/>
      <c r="D45" s="4"/>
      <c r="E45" s="4"/>
      <c r="F45" s="1515"/>
      <c r="G45" s="1515"/>
      <c r="H45" s="1515"/>
      <c r="I45" s="1515"/>
      <c r="J45" s="1515"/>
      <c r="K45" s="1515"/>
      <c r="L45" s="1515"/>
      <c r="M45" s="1515"/>
      <c r="N45" s="1515"/>
      <c r="O45" s="1515"/>
      <c r="P45" s="1515"/>
      <c r="Q45" s="1515"/>
      <c r="R45" s="1515"/>
      <c r="S45" s="1515"/>
      <c r="T45" s="1515"/>
      <c r="U45" s="1515"/>
      <c r="V45" s="1515"/>
      <c r="W45" s="1515"/>
      <c r="X45" s="1515"/>
      <c r="Y45" s="1515"/>
      <c r="Z45" s="1515"/>
      <c r="AA45" s="1515"/>
      <c r="AB45" s="1515"/>
      <c r="AC45" s="1515"/>
      <c r="AD45" s="1515"/>
      <c r="AE45" s="1515"/>
      <c r="AF45" s="1515"/>
      <c r="AG45" s="1515"/>
      <c r="AH45" s="1515"/>
      <c r="AI45" s="1515"/>
      <c r="AJ45" s="1515"/>
      <c r="AK45" s="1515"/>
      <c r="AL45" s="1515"/>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84" t="s">
        <v>1998</v>
      </c>
      <c r="G48" s="1484"/>
      <c r="H48" s="1484"/>
      <c r="I48" s="1484"/>
      <c r="J48" s="1484"/>
      <c r="K48" s="1484"/>
      <c r="L48" s="1484"/>
      <c r="M48" s="1484"/>
      <c r="N48" s="1484"/>
      <c r="O48" s="1484"/>
      <c r="P48" s="1484"/>
      <c r="Q48" s="1484"/>
      <c r="R48" s="1484"/>
      <c r="S48" s="1484"/>
      <c r="T48" s="1484"/>
      <c r="U48" s="1484"/>
      <c r="V48" s="1484"/>
      <c r="W48" s="1484"/>
      <c r="X48" s="1484"/>
      <c r="Y48" s="1484"/>
      <c r="Z48" s="1484"/>
      <c r="AA48" s="1484"/>
      <c r="AB48" s="1484"/>
      <c r="AC48" s="1484"/>
      <c r="AD48" s="1484"/>
      <c r="AE48" s="1484"/>
      <c r="AF48" s="1484"/>
      <c r="AG48" s="1484"/>
      <c r="AH48" s="1484"/>
      <c r="AI48" s="1484"/>
      <c r="AJ48" s="1484"/>
      <c r="AK48" s="1484"/>
    </row>
    <row r="49" spans="1:38">
      <c r="A49" s="4"/>
      <c r="C49" s="2"/>
      <c r="D49" s="4"/>
      <c r="E49" s="4"/>
      <c r="F49" s="1484"/>
      <c r="G49" s="1484"/>
      <c r="H49" s="1484"/>
      <c r="I49" s="1484"/>
      <c r="J49" s="1484"/>
      <c r="K49" s="1484"/>
      <c r="L49" s="1484"/>
      <c r="M49" s="1484"/>
      <c r="N49" s="1484"/>
      <c r="O49" s="1484"/>
      <c r="P49" s="1484"/>
      <c r="Q49" s="1484"/>
      <c r="R49" s="1484"/>
      <c r="S49" s="1484"/>
      <c r="T49" s="1484"/>
      <c r="U49" s="1484"/>
      <c r="V49" s="1484"/>
      <c r="W49" s="1484"/>
      <c r="X49" s="1484"/>
      <c r="Y49" s="1484"/>
      <c r="Z49" s="1484"/>
      <c r="AA49" s="1484"/>
      <c r="AB49" s="1484"/>
      <c r="AC49" s="1484"/>
      <c r="AD49" s="1484"/>
      <c r="AE49" s="1484"/>
      <c r="AF49" s="1484"/>
      <c r="AG49" s="1484"/>
      <c r="AH49" s="1484"/>
      <c r="AI49" s="1484"/>
      <c r="AJ49" s="1484"/>
      <c r="AK49" s="1484"/>
    </row>
    <row r="50" spans="1:38">
      <c r="A50" s="4"/>
      <c r="C50" s="2"/>
      <c r="D50" s="4"/>
      <c r="F50" s="1484"/>
      <c r="G50" s="1484"/>
      <c r="H50" s="1484"/>
      <c r="I50" s="1484"/>
      <c r="J50" s="1484"/>
      <c r="K50" s="1484"/>
      <c r="L50" s="1484"/>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805" t="s">
        <v>1191</v>
      </c>
      <c r="H54" s="1805"/>
      <c r="I54" s="1805"/>
      <c r="J54" s="1805"/>
      <c r="K54" s="1805"/>
      <c r="L54" s="1805"/>
      <c r="M54" s="1805"/>
      <c r="N54" s="1805"/>
      <c r="O54" s="1805"/>
      <c r="P54" s="1805"/>
      <c r="Q54" s="1805"/>
      <c r="R54" s="1805"/>
      <c r="S54" s="1805"/>
      <c r="T54" s="1805"/>
      <c r="U54" s="1805"/>
      <c r="V54" s="1805"/>
      <c r="W54" s="1805"/>
      <c r="X54" s="1805"/>
      <c r="Y54" s="1805"/>
      <c r="Z54" s="1805"/>
      <c r="AA54" s="1805"/>
      <c r="AB54" s="1805"/>
      <c r="AC54" s="1805"/>
      <c r="AD54" s="1805"/>
      <c r="AE54" s="1805"/>
      <c r="AF54" s="1805"/>
      <c r="AG54" s="1805"/>
      <c r="AH54" s="1805"/>
      <c r="AI54" s="1805"/>
      <c r="AJ54" s="1805"/>
      <c r="AK54" s="180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5" t="s">
        <v>575</v>
      </c>
      <c r="H56" s="1805"/>
      <c r="I56" s="180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805" t="s">
        <v>1999</v>
      </c>
      <c r="H57" s="1805"/>
      <c r="I57" s="1805"/>
      <c r="J57" s="1805"/>
      <c r="K57" s="1805"/>
      <c r="L57" s="1805"/>
      <c r="M57" s="1805"/>
      <c r="N57" s="1805"/>
      <c r="O57" s="1805"/>
      <c r="P57" s="1805"/>
      <c r="Q57" s="1805"/>
      <c r="R57" s="1805"/>
      <c r="S57" s="1805"/>
      <c r="T57" s="1805"/>
      <c r="U57" s="1805"/>
      <c r="V57" s="1805"/>
      <c r="W57" s="1805"/>
      <c r="X57" s="1805"/>
      <c r="Y57" s="1805"/>
      <c r="Z57" s="1805"/>
      <c r="AA57" s="1805"/>
      <c r="AB57" s="1805"/>
      <c r="AC57" s="1805"/>
      <c r="AD57" s="1805"/>
      <c r="AE57" s="1805"/>
      <c r="AF57" s="1805"/>
      <c r="AG57" s="1805"/>
      <c r="AH57" s="1805"/>
      <c r="AI57" s="1805"/>
      <c r="AJ57" s="1805"/>
      <c r="AK57" s="1805"/>
      <c r="AL57" s="1805"/>
    </row>
    <row r="58" spans="1:38">
      <c r="A58" s="204"/>
      <c r="B58" s="204"/>
      <c r="C58" s="205"/>
      <c r="D58" s="205"/>
      <c r="E58" s="204"/>
      <c r="F58" s="206"/>
      <c r="G58" s="1805"/>
      <c r="H58" s="1805"/>
      <c r="I58" s="1805"/>
      <c r="J58" s="1805"/>
      <c r="K58" s="1805"/>
      <c r="L58" s="1805"/>
      <c r="M58" s="1805"/>
      <c r="N58" s="1805"/>
      <c r="O58" s="1805"/>
      <c r="P58" s="1805"/>
      <c r="Q58" s="1805"/>
      <c r="R58" s="1805"/>
      <c r="S58" s="1805"/>
      <c r="T58" s="1805"/>
      <c r="U58" s="1805"/>
      <c r="V58" s="1805"/>
      <c r="W58" s="1805"/>
      <c r="X58" s="1805"/>
      <c r="Y58" s="1805"/>
      <c r="Z58" s="1805"/>
      <c r="AA58" s="1805"/>
      <c r="AB58" s="1805"/>
      <c r="AC58" s="1805"/>
      <c r="AD58" s="1805"/>
      <c r="AE58" s="1805"/>
      <c r="AF58" s="1805"/>
      <c r="AG58" s="1805"/>
      <c r="AH58" s="1805"/>
      <c r="AI58" s="1805"/>
      <c r="AJ58" s="1805"/>
      <c r="AK58" s="1805"/>
      <c r="AL58" s="180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84" t="s">
        <v>1166</v>
      </c>
      <c r="H64" s="1484"/>
      <c r="I64" s="1484"/>
      <c r="J64" s="1484"/>
      <c r="K64" s="1484"/>
      <c r="L64" s="1484"/>
      <c r="M64" s="1484"/>
      <c r="N64" s="1484"/>
      <c r="O64" s="1484"/>
      <c r="P64" s="1484"/>
      <c r="Q64" s="1484"/>
      <c r="R64" s="1484"/>
      <c r="S64" s="1484"/>
      <c r="T64" s="1484"/>
      <c r="U64" s="1484"/>
      <c r="V64" s="1484"/>
      <c r="W64" s="1484"/>
      <c r="X64" s="1484"/>
      <c r="Y64" s="1484"/>
      <c r="Z64" s="1484"/>
      <c r="AA64" s="1484"/>
      <c r="AB64" s="1484"/>
      <c r="AC64" s="1484"/>
      <c r="AD64" s="1484"/>
      <c r="AE64" s="1484"/>
      <c r="AF64" s="1484"/>
      <c r="AG64" s="1484"/>
      <c r="AH64" s="1484"/>
      <c r="AI64" s="1484"/>
      <c r="AJ64" s="1484"/>
      <c r="AK64" s="1484"/>
    </row>
    <row r="65" spans="1:37">
      <c r="A65" s="4"/>
      <c r="C65" s="2"/>
      <c r="D65" s="4"/>
      <c r="E65" s="4"/>
      <c r="G65" s="1484"/>
      <c r="H65" s="1484"/>
      <c r="I65" s="1484"/>
      <c r="J65" s="1484"/>
      <c r="K65" s="1484"/>
      <c r="L65" s="1484"/>
      <c r="M65" s="1484"/>
      <c r="N65" s="1484"/>
      <c r="O65" s="1484"/>
      <c r="P65" s="1484"/>
      <c r="Q65" s="1484"/>
      <c r="R65" s="1484"/>
      <c r="S65" s="1484"/>
      <c r="T65" s="1484"/>
      <c r="U65" s="1484"/>
      <c r="V65" s="1484"/>
      <c r="W65" s="1484"/>
      <c r="X65" s="1484"/>
      <c r="Y65" s="1484"/>
      <c r="Z65" s="1484"/>
      <c r="AA65" s="1484"/>
      <c r="AB65" s="1484"/>
      <c r="AC65" s="1484"/>
      <c r="AD65" s="1484"/>
      <c r="AE65" s="1484"/>
      <c r="AF65" s="1484"/>
      <c r="AG65" s="1484"/>
      <c r="AH65" s="1484"/>
      <c r="AI65" s="1484"/>
      <c r="AJ65" s="1484"/>
      <c r="AK65" s="1484"/>
    </row>
    <row r="66" spans="1:37">
      <c r="A66" s="4"/>
      <c r="C66" s="2"/>
      <c r="D66" s="4"/>
      <c r="E66" s="4"/>
      <c r="G66" s="1484"/>
      <c r="H66" s="1484"/>
      <c r="I66" s="1484"/>
      <c r="J66" s="1484"/>
      <c r="K66" s="1484"/>
      <c r="L66" s="1484"/>
      <c r="M66" s="1484"/>
      <c r="N66" s="1484"/>
      <c r="O66" s="1484"/>
      <c r="P66" s="1484"/>
      <c r="Q66" s="1484"/>
      <c r="R66" s="1484"/>
      <c r="S66" s="1484"/>
      <c r="T66" s="1484"/>
      <c r="U66" s="1484"/>
      <c r="V66" s="1484"/>
      <c r="W66" s="1484"/>
      <c r="X66" s="1484"/>
      <c r="Y66" s="1484"/>
      <c r="Z66" s="1484"/>
      <c r="AA66" s="1484"/>
      <c r="AB66" s="1484"/>
      <c r="AC66" s="1484"/>
      <c r="AD66" s="1484"/>
      <c r="AE66" s="1484"/>
      <c r="AF66" s="1484"/>
      <c r="AG66" s="1484"/>
      <c r="AH66" s="1484"/>
      <c r="AI66" s="1484"/>
      <c r="AJ66" s="1484"/>
      <c r="AK66" s="1484"/>
    </row>
    <row r="67" spans="1:37" ht="13.15" customHeight="1">
      <c r="A67" s="4"/>
      <c r="C67" s="2"/>
      <c r="D67" s="4"/>
      <c r="E67" s="4"/>
      <c r="F67" t="s">
        <v>509</v>
      </c>
      <c r="G67" s="1484" t="s">
        <v>1167</v>
      </c>
      <c r="H67" s="1484"/>
      <c r="I67" s="1484"/>
      <c r="J67" s="1484"/>
      <c r="K67" s="1484"/>
      <c r="L67" s="1484"/>
      <c r="M67" s="1484"/>
      <c r="N67" s="1484"/>
      <c r="O67" s="1484"/>
      <c r="P67" s="1484"/>
      <c r="Q67" s="1484"/>
      <c r="R67" s="1484"/>
      <c r="S67" s="1484"/>
      <c r="T67" s="1484"/>
      <c r="U67" s="1484"/>
      <c r="V67" s="1484"/>
      <c r="W67" s="1484"/>
      <c r="X67" s="1484"/>
      <c r="Y67" s="1484"/>
      <c r="Z67" s="1484"/>
      <c r="AA67" s="1484"/>
      <c r="AB67" s="1484"/>
      <c r="AC67" s="1484"/>
      <c r="AD67" s="1484"/>
      <c r="AE67" s="1484"/>
      <c r="AF67" s="1484"/>
      <c r="AG67" s="1484"/>
      <c r="AH67" s="1484"/>
      <c r="AI67" s="1484"/>
      <c r="AJ67" s="1484"/>
      <c r="AK67" s="1484"/>
    </row>
    <row r="68" spans="1:37">
      <c r="A68" s="4"/>
      <c r="C68" s="2"/>
      <c r="D68" s="4"/>
      <c r="E68" s="4"/>
      <c r="F68" s="27"/>
      <c r="G68" s="1484"/>
      <c r="H68" s="1484"/>
      <c r="I68" s="1484"/>
      <c r="J68" s="1484"/>
      <c r="K68" s="1484"/>
      <c r="L68" s="1484"/>
      <c r="M68" s="1484"/>
      <c r="N68" s="1484"/>
      <c r="O68" s="1484"/>
      <c r="P68" s="1484"/>
      <c r="Q68" s="1484"/>
      <c r="R68" s="1484"/>
      <c r="S68" s="1484"/>
      <c r="T68" s="1484"/>
      <c r="U68" s="1484"/>
      <c r="V68" s="1484"/>
      <c r="W68" s="1484"/>
      <c r="X68" s="1484"/>
      <c r="Y68" s="1484"/>
      <c r="Z68" s="1484"/>
      <c r="AA68" s="1484"/>
      <c r="AB68" s="1484"/>
      <c r="AC68" s="1484"/>
      <c r="AD68" s="1484"/>
      <c r="AE68" s="1484"/>
      <c r="AF68" s="1484"/>
      <c r="AG68" s="1484"/>
      <c r="AH68" s="1484"/>
      <c r="AI68" s="1484"/>
      <c r="AJ68" s="1484"/>
      <c r="AK68" s="1484"/>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84" t="s">
        <v>1168</v>
      </c>
      <c r="H70" s="1484"/>
      <c r="I70" s="1484"/>
      <c r="J70" s="1484"/>
      <c r="K70" s="1484"/>
      <c r="L70" s="1484"/>
      <c r="M70" s="1484"/>
      <c r="N70" s="1484"/>
      <c r="O70" s="1484"/>
      <c r="P70" s="1484"/>
      <c r="Q70" s="1484"/>
      <c r="R70" s="1484"/>
      <c r="S70" s="1484"/>
      <c r="T70" s="1484"/>
      <c r="U70" s="1484"/>
      <c r="V70" s="1484"/>
      <c r="W70" s="1484"/>
      <c r="X70" s="1484"/>
      <c r="Y70" s="1484"/>
      <c r="Z70" s="1484"/>
      <c r="AA70" s="1484"/>
      <c r="AB70" s="1484"/>
      <c r="AC70" s="1484"/>
      <c r="AD70" s="1484"/>
      <c r="AE70" s="1484"/>
      <c r="AF70" s="1484"/>
      <c r="AG70" s="1484"/>
      <c r="AH70" s="1484"/>
      <c r="AI70" s="1484"/>
      <c r="AJ70" s="1484"/>
      <c r="AK70" s="1484"/>
    </row>
    <row r="71" spans="1:37">
      <c r="A71" s="4"/>
      <c r="C71" s="2"/>
      <c r="D71" s="4"/>
      <c r="E71" s="4"/>
      <c r="F71" s="8"/>
      <c r="G71" s="1484"/>
      <c r="H71" s="1484"/>
      <c r="I71" s="1484"/>
      <c r="J71" s="1484"/>
      <c r="K71" s="1484"/>
      <c r="L71" s="1484"/>
      <c r="M71" s="1484"/>
      <c r="N71" s="1484"/>
      <c r="O71" s="1484"/>
      <c r="P71" s="1484"/>
      <c r="Q71" s="1484"/>
      <c r="R71" s="1484"/>
      <c r="S71" s="1484"/>
      <c r="T71" s="1484"/>
      <c r="U71" s="1484"/>
      <c r="V71" s="1484"/>
      <c r="W71" s="1484"/>
      <c r="X71" s="1484"/>
      <c r="Y71" s="1484"/>
      <c r="Z71" s="1484"/>
      <c r="AA71" s="1484"/>
      <c r="AB71" s="1484"/>
      <c r="AC71" s="1484"/>
      <c r="AD71" s="1484"/>
      <c r="AE71" s="1484"/>
      <c r="AF71" s="1484"/>
      <c r="AG71" s="1484"/>
      <c r="AH71" s="1484"/>
      <c r="AI71" s="1484"/>
      <c r="AJ71" s="1484"/>
      <c r="AK71" s="1484"/>
    </row>
    <row r="72" spans="1:37">
      <c r="A72" s="4"/>
      <c r="C72" s="2"/>
      <c r="D72" s="4"/>
      <c r="E72" s="4"/>
      <c r="F72" s="8" t="s">
        <v>509</v>
      </c>
      <c r="G72" s="1484" t="s">
        <v>1169</v>
      </c>
      <c r="H72" s="1484"/>
      <c r="I72" s="1484"/>
      <c r="J72" s="1484"/>
      <c r="K72" s="1484"/>
      <c r="L72" s="1484"/>
      <c r="M72" s="1484"/>
      <c r="N72" s="1484"/>
      <c r="O72" s="1484"/>
      <c r="P72" s="1484"/>
      <c r="Q72" s="1484"/>
      <c r="R72" s="1484"/>
      <c r="S72" s="1484"/>
      <c r="T72" s="1484"/>
      <c r="U72" s="1484"/>
      <c r="V72" s="1484"/>
      <c r="W72" s="1484"/>
      <c r="X72" s="1484"/>
      <c r="Y72" s="1484"/>
      <c r="Z72" s="1484"/>
      <c r="AA72" s="1484"/>
      <c r="AB72" s="1484"/>
      <c r="AC72" s="1484"/>
      <c r="AD72" s="1484"/>
      <c r="AE72" s="1484"/>
      <c r="AF72" s="1484"/>
      <c r="AG72" s="1484"/>
      <c r="AH72" s="1484"/>
      <c r="AI72" s="1484"/>
      <c r="AJ72" s="1484"/>
      <c r="AK72" s="1484"/>
    </row>
    <row r="73" spans="1:37">
      <c r="A73" s="4"/>
      <c r="C73" s="2"/>
      <c r="D73" s="4"/>
      <c r="E73" s="4"/>
      <c r="F73" s="8"/>
      <c r="G73" s="1484"/>
      <c r="H73" s="1484"/>
      <c r="I73" s="1484"/>
      <c r="J73" s="1484"/>
      <c r="K73" s="1484"/>
      <c r="L73" s="1484"/>
      <c r="M73" s="1484"/>
      <c r="N73" s="1484"/>
      <c r="O73" s="1484"/>
      <c r="P73" s="1484"/>
      <c r="Q73" s="1484"/>
      <c r="R73" s="1484"/>
      <c r="S73" s="1484"/>
      <c r="T73" s="1484"/>
      <c r="U73" s="1484"/>
      <c r="V73" s="1484"/>
      <c r="W73" s="1484"/>
      <c r="X73" s="1484"/>
      <c r="Y73" s="1484"/>
      <c r="Z73" s="1484"/>
      <c r="AA73" s="1484"/>
      <c r="AB73" s="1484"/>
      <c r="AC73" s="1484"/>
      <c r="AD73" s="1484"/>
      <c r="AE73" s="1484"/>
      <c r="AF73" s="1484"/>
      <c r="AG73" s="1484"/>
      <c r="AH73" s="1484"/>
      <c r="AI73" s="1484"/>
      <c r="AJ73" s="1484"/>
      <c r="AK73" s="1484"/>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84" t="s">
        <v>1170</v>
      </c>
      <c r="H80" s="1484"/>
      <c r="I80" s="1484"/>
      <c r="J80" s="1484"/>
      <c r="K80" s="1484"/>
      <c r="L80" s="1484"/>
      <c r="M80" s="1484"/>
      <c r="N80" s="1484"/>
      <c r="O80" s="1484"/>
      <c r="P80" s="1484"/>
      <c r="Q80" s="1484"/>
      <c r="R80" s="1484"/>
      <c r="S80" s="1484"/>
      <c r="T80" s="1484"/>
      <c r="U80" s="1484"/>
      <c r="V80" s="1484"/>
      <c r="W80" s="1484"/>
      <c r="X80" s="1484"/>
      <c r="Y80" s="1484"/>
      <c r="Z80" s="1484"/>
      <c r="AA80" s="1484"/>
      <c r="AB80" s="1484"/>
      <c r="AC80" s="1484"/>
      <c r="AD80" s="1484"/>
      <c r="AE80" s="1484"/>
      <c r="AF80" s="1484"/>
      <c r="AG80" s="1484"/>
      <c r="AH80" s="1484"/>
      <c r="AI80" s="1484"/>
      <c r="AJ80" s="1484"/>
      <c r="AK80" s="1484"/>
    </row>
    <row r="81" spans="1:37">
      <c r="A81" s="4"/>
      <c r="C81" s="2"/>
      <c r="D81" s="4"/>
      <c r="E81" s="4"/>
      <c r="F81" s="4"/>
      <c r="G81" s="1484"/>
      <c r="H81" s="1484"/>
      <c r="I81" s="1484"/>
      <c r="J81" s="1484"/>
      <c r="K81" s="1484"/>
      <c r="L81" s="1484"/>
      <c r="M81" s="1484"/>
      <c r="N81" s="1484"/>
      <c r="O81" s="1484"/>
      <c r="P81" s="1484"/>
      <c r="Q81" s="1484"/>
      <c r="R81" s="1484"/>
      <c r="S81" s="1484"/>
      <c r="T81" s="1484"/>
      <c r="U81" s="1484"/>
      <c r="V81" s="1484"/>
      <c r="W81" s="1484"/>
      <c r="X81" s="1484"/>
      <c r="Y81" s="1484"/>
      <c r="Z81" s="1484"/>
      <c r="AA81" s="1484"/>
      <c r="AB81" s="1484"/>
      <c r="AC81" s="1484"/>
      <c r="AD81" s="1484"/>
      <c r="AE81" s="1484"/>
      <c r="AF81" s="1484"/>
      <c r="AG81" s="1484"/>
      <c r="AH81" s="1484"/>
      <c r="AI81" s="1484"/>
      <c r="AJ81" s="1484"/>
      <c r="AK81" s="1484"/>
    </row>
    <row r="82" spans="1:37">
      <c r="A82" s="4"/>
      <c r="C82" s="2"/>
      <c r="D82" s="4"/>
      <c r="E82" s="4"/>
      <c r="F82" s="4"/>
      <c r="G82" s="1484"/>
      <c r="H82" s="1484"/>
      <c r="I82" s="1484"/>
      <c r="J82" s="1484"/>
      <c r="K82" s="1484"/>
      <c r="L82" s="1484"/>
      <c r="M82" s="1484"/>
      <c r="N82" s="1484"/>
      <c r="O82" s="1484"/>
      <c r="P82" s="1484"/>
      <c r="Q82" s="1484"/>
      <c r="R82" s="1484"/>
      <c r="S82" s="1484"/>
      <c r="T82" s="1484"/>
      <c r="U82" s="1484"/>
      <c r="V82" s="1484"/>
      <c r="W82" s="1484"/>
      <c r="X82" s="1484"/>
      <c r="Y82" s="1484"/>
      <c r="Z82" s="1484"/>
      <c r="AA82" s="1484"/>
      <c r="AB82" s="1484"/>
      <c r="AC82" s="1484"/>
      <c r="AD82" s="1484"/>
      <c r="AE82" s="1484"/>
      <c r="AF82" s="1484"/>
      <c r="AG82" s="1484"/>
      <c r="AH82" s="1484"/>
      <c r="AI82" s="1484"/>
      <c r="AJ82" s="1484"/>
      <c r="AK82" s="1484"/>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84" t="s">
        <v>1171</v>
      </c>
      <c r="H84" s="1484"/>
      <c r="I84" s="1484"/>
      <c r="J84" s="1484"/>
      <c r="K84" s="1484"/>
      <c r="L84" s="1484"/>
      <c r="M84" s="1484"/>
      <c r="N84" s="1484"/>
      <c r="O84" s="1484"/>
      <c r="P84" s="1484"/>
      <c r="Q84" s="1484"/>
      <c r="R84" s="1484"/>
      <c r="S84" s="1484"/>
      <c r="T84" s="1484"/>
      <c r="U84" s="1484"/>
      <c r="V84" s="1484"/>
      <c r="W84" s="1484"/>
      <c r="X84" s="1484"/>
      <c r="Y84" s="1484"/>
      <c r="Z84" s="1484"/>
      <c r="AA84" s="1484"/>
      <c r="AB84" s="1484"/>
      <c r="AC84" s="1484"/>
      <c r="AD84" s="1484"/>
      <c r="AE84" s="1484"/>
      <c r="AF84" s="1484"/>
      <c r="AG84" s="1484"/>
      <c r="AH84" s="1484"/>
      <c r="AI84" s="1484"/>
      <c r="AJ84" s="1484"/>
      <c r="AK84" s="1484"/>
    </row>
    <row r="85" spans="1:37">
      <c r="A85" s="4"/>
      <c r="C85" s="2"/>
      <c r="D85" s="4"/>
      <c r="E85" s="4"/>
      <c r="F85" s="4"/>
      <c r="G85" s="1484"/>
      <c r="H85" s="1484"/>
      <c r="I85" s="1484"/>
      <c r="J85" s="1484"/>
      <c r="K85" s="1484"/>
      <c r="L85" s="1484"/>
      <c r="M85" s="1484"/>
      <c r="N85" s="1484"/>
      <c r="O85" s="1484"/>
      <c r="P85" s="1484"/>
      <c r="Q85" s="1484"/>
      <c r="R85" s="1484"/>
      <c r="S85" s="1484"/>
      <c r="T85" s="1484"/>
      <c r="U85" s="1484"/>
      <c r="V85" s="1484"/>
      <c r="W85" s="1484"/>
      <c r="X85" s="1484"/>
      <c r="Y85" s="1484"/>
      <c r="Z85" s="1484"/>
      <c r="AA85" s="1484"/>
      <c r="AB85" s="1484"/>
      <c r="AC85" s="1484"/>
      <c r="AD85" s="1484"/>
      <c r="AE85" s="1484"/>
      <c r="AF85" s="1484"/>
      <c r="AG85" s="1484"/>
      <c r="AH85" s="1484"/>
      <c r="AI85" s="1484"/>
      <c r="AJ85" s="1484"/>
      <c r="AK85" s="1484"/>
    </row>
    <row r="86" spans="1:37">
      <c r="A86" s="4"/>
      <c r="C86" s="2"/>
      <c r="D86" s="4"/>
      <c r="E86" s="4"/>
      <c r="G86" s="1484"/>
      <c r="H86" s="1484"/>
      <c r="I86" s="1484"/>
      <c r="J86" s="1484"/>
      <c r="K86" s="1484"/>
      <c r="L86" s="1484"/>
      <c r="M86" s="1484"/>
      <c r="N86" s="1484"/>
      <c r="O86" s="1484"/>
      <c r="P86" s="1484"/>
      <c r="Q86" s="1484"/>
      <c r="R86" s="1484"/>
      <c r="S86" s="1484"/>
      <c r="T86" s="1484"/>
      <c r="U86" s="1484"/>
      <c r="V86" s="1484"/>
      <c r="W86" s="1484"/>
      <c r="X86" s="1484"/>
      <c r="Y86" s="1484"/>
      <c r="Z86" s="1484"/>
      <c r="AA86" s="1484"/>
      <c r="AB86" s="1484"/>
      <c r="AC86" s="1484"/>
      <c r="AD86" s="1484"/>
      <c r="AE86" s="1484"/>
      <c r="AF86" s="1484"/>
      <c r="AG86" s="1484"/>
      <c r="AH86" s="1484"/>
      <c r="AI86" s="1484"/>
      <c r="AJ86" s="1484"/>
      <c r="AK86" s="1484"/>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803" t="s">
        <v>1172</v>
      </c>
      <c r="H88" s="1803"/>
      <c r="I88" s="1803"/>
      <c r="J88" s="1803"/>
      <c r="K88" s="1803"/>
      <c r="L88" s="1803"/>
      <c r="M88" s="1803"/>
      <c r="N88" s="1803"/>
      <c r="O88" s="1803"/>
      <c r="P88" s="1803"/>
      <c r="Q88" s="1803"/>
      <c r="R88" s="1803"/>
      <c r="S88" s="1803"/>
      <c r="T88" s="1803"/>
      <c r="U88" s="1803"/>
      <c r="V88" s="1803"/>
      <c r="W88" s="1803"/>
      <c r="X88" s="1803"/>
      <c r="Y88" s="1803"/>
      <c r="Z88" s="1803"/>
      <c r="AA88" s="1803"/>
      <c r="AB88" s="1803"/>
      <c r="AC88" s="1803"/>
      <c r="AD88" s="1803"/>
      <c r="AE88" s="1803"/>
      <c r="AF88" s="1803"/>
      <c r="AG88" s="1803"/>
      <c r="AH88" s="1803"/>
      <c r="AI88" s="1803"/>
      <c r="AJ88" s="1803"/>
      <c r="AK88" s="1803"/>
    </row>
    <row r="89" spans="1:37">
      <c r="A89" s="4"/>
      <c r="C89" s="2"/>
      <c r="D89" s="4"/>
      <c r="E89" s="4"/>
      <c r="G89" s="1803"/>
      <c r="H89" s="1803"/>
      <c r="I89" s="1803"/>
      <c r="J89" s="1803"/>
      <c r="K89" s="1803"/>
      <c r="L89" s="1803"/>
      <c r="M89" s="1803"/>
      <c r="N89" s="1803"/>
      <c r="O89" s="1803"/>
      <c r="P89" s="1803"/>
      <c r="Q89" s="1803"/>
      <c r="R89" s="1803"/>
      <c r="S89" s="1803"/>
      <c r="T89" s="1803"/>
      <c r="U89" s="1803"/>
      <c r="V89" s="1803"/>
      <c r="W89" s="1803"/>
      <c r="X89" s="1803"/>
      <c r="Y89" s="1803"/>
      <c r="Z89" s="1803"/>
      <c r="AA89" s="1803"/>
      <c r="AB89" s="1803"/>
      <c r="AC89" s="1803"/>
      <c r="AD89" s="1803"/>
      <c r="AE89" s="1803"/>
      <c r="AF89" s="1803"/>
      <c r="AG89" s="1803"/>
      <c r="AH89" s="1803"/>
      <c r="AI89" s="1803"/>
      <c r="AJ89" s="1803"/>
      <c r="AK89" s="1803"/>
    </row>
    <row r="90" spans="1:37">
      <c r="A90" s="4"/>
      <c r="C90" s="2"/>
      <c r="D90" s="4"/>
      <c r="E90" s="4"/>
      <c r="G90" s="1803"/>
      <c r="H90" s="1803"/>
      <c r="I90" s="1803"/>
      <c r="J90" s="1803"/>
      <c r="K90" s="1803"/>
      <c r="L90" s="1803"/>
      <c r="M90" s="1803"/>
      <c r="N90" s="1803"/>
      <c r="O90" s="1803"/>
      <c r="P90" s="1803"/>
      <c r="Q90" s="1803"/>
      <c r="R90" s="1803"/>
      <c r="S90" s="1803"/>
      <c r="T90" s="1803"/>
      <c r="U90" s="1803"/>
      <c r="V90" s="1803"/>
      <c r="W90" s="1803"/>
      <c r="X90" s="1803"/>
      <c r="Y90" s="1803"/>
      <c r="Z90" s="1803"/>
      <c r="AA90" s="1803"/>
      <c r="AB90" s="1803"/>
      <c r="AC90" s="1803"/>
      <c r="AD90" s="1803"/>
      <c r="AE90" s="1803"/>
      <c r="AF90" s="1803"/>
      <c r="AG90" s="1803"/>
      <c r="AH90" s="1803"/>
      <c r="AI90" s="1803"/>
      <c r="AJ90" s="1803"/>
      <c r="AK90" s="1803"/>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84" t="s">
        <v>1173</v>
      </c>
      <c r="H92" s="1484"/>
      <c r="I92" s="1484"/>
      <c r="J92" s="1484"/>
      <c r="K92" s="1484"/>
      <c r="L92" s="1484"/>
      <c r="M92" s="1484"/>
      <c r="N92" s="1484"/>
      <c r="O92" s="1484"/>
      <c r="P92" s="1484"/>
      <c r="Q92" s="1484"/>
      <c r="R92" s="1484"/>
      <c r="S92" s="1484"/>
      <c r="T92" s="1484"/>
      <c r="U92" s="1484"/>
      <c r="V92" s="1484"/>
      <c r="W92" s="1484"/>
      <c r="X92" s="1484"/>
      <c r="Y92" s="1484"/>
      <c r="Z92" s="1484"/>
      <c r="AA92" s="1484"/>
      <c r="AB92" s="1484"/>
      <c r="AC92" s="1484"/>
      <c r="AD92" s="1484"/>
      <c r="AE92" s="1484"/>
      <c r="AF92" s="1484"/>
      <c r="AG92" s="1484"/>
      <c r="AH92" s="1484"/>
      <c r="AI92" s="1484"/>
      <c r="AJ92" s="1484"/>
      <c r="AK92" s="1484"/>
    </row>
    <row r="93" spans="1:37">
      <c r="A93" s="4"/>
      <c r="C93" s="2"/>
      <c r="D93" s="4"/>
      <c r="E93" s="4"/>
      <c r="G93" s="1484"/>
      <c r="H93" s="1484"/>
      <c r="I93" s="1484"/>
      <c r="J93" s="1484"/>
      <c r="K93" s="1484"/>
      <c r="L93" s="1484"/>
      <c r="M93" s="1484"/>
      <c r="N93" s="1484"/>
      <c r="O93" s="1484"/>
      <c r="P93" s="1484"/>
      <c r="Q93" s="1484"/>
      <c r="R93" s="1484"/>
      <c r="S93" s="1484"/>
      <c r="T93" s="1484"/>
      <c r="U93" s="1484"/>
      <c r="V93" s="1484"/>
      <c r="W93" s="1484"/>
      <c r="X93" s="1484"/>
      <c r="Y93" s="1484"/>
      <c r="Z93" s="1484"/>
      <c r="AA93" s="1484"/>
      <c r="AB93" s="1484"/>
      <c r="AC93" s="1484"/>
      <c r="AD93" s="1484"/>
      <c r="AE93" s="1484"/>
      <c r="AF93" s="1484"/>
      <c r="AG93" s="1484"/>
      <c r="AH93" s="1484"/>
      <c r="AI93" s="1484"/>
      <c r="AJ93" s="1484"/>
      <c r="AK93" s="1484"/>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84" t="s">
        <v>1174</v>
      </c>
      <c r="H95" s="1484"/>
      <c r="I95" s="1484"/>
      <c r="J95" s="1484"/>
      <c r="K95" s="1484"/>
      <c r="L95" s="1484"/>
      <c r="M95" s="1484"/>
      <c r="N95" s="1484"/>
      <c r="O95" s="1484"/>
      <c r="P95" s="1484"/>
      <c r="Q95" s="1484"/>
      <c r="R95" s="1484"/>
      <c r="S95" s="1484"/>
      <c r="T95" s="1484"/>
      <c r="U95" s="1484"/>
      <c r="V95" s="1484"/>
      <c r="W95" s="1484"/>
      <c r="X95" s="1484"/>
      <c r="Y95" s="1484"/>
      <c r="Z95" s="1484"/>
      <c r="AA95" s="1484"/>
      <c r="AB95" s="1484"/>
      <c r="AC95" s="1484"/>
      <c r="AD95" s="1484"/>
      <c r="AE95" s="1484"/>
      <c r="AF95" s="1484"/>
      <c r="AG95" s="1484"/>
      <c r="AH95" s="1484"/>
      <c r="AI95" s="1484"/>
      <c r="AJ95" s="1484"/>
      <c r="AK95" s="1484"/>
    </row>
    <row r="96" spans="1:37">
      <c r="A96" s="4"/>
      <c r="C96" s="2"/>
      <c r="D96" s="4"/>
      <c r="E96" s="4"/>
      <c r="G96" s="1484"/>
      <c r="H96" s="1484"/>
      <c r="I96" s="1484"/>
      <c r="J96" s="1484"/>
      <c r="K96" s="1484"/>
      <c r="L96" s="1484"/>
      <c r="M96" s="1484"/>
      <c r="N96" s="1484"/>
      <c r="O96" s="1484"/>
      <c r="P96" s="1484"/>
      <c r="Q96" s="1484"/>
      <c r="R96" s="1484"/>
      <c r="S96" s="1484"/>
      <c r="T96" s="1484"/>
      <c r="U96" s="1484"/>
      <c r="V96" s="1484"/>
      <c r="W96" s="1484"/>
      <c r="X96" s="1484"/>
      <c r="Y96" s="1484"/>
      <c r="Z96" s="1484"/>
      <c r="AA96" s="1484"/>
      <c r="AB96" s="1484"/>
      <c r="AC96" s="1484"/>
      <c r="AD96" s="1484"/>
      <c r="AE96" s="1484"/>
      <c r="AF96" s="1484"/>
      <c r="AG96" s="1484"/>
      <c r="AH96" s="1484"/>
      <c r="AI96" s="1484"/>
      <c r="AJ96" s="1484"/>
      <c r="AK96" s="1484"/>
    </row>
    <row r="97" spans="1:38">
      <c r="A97" s="4"/>
      <c r="C97" s="2"/>
      <c r="D97" s="4"/>
      <c r="E97" s="4"/>
      <c r="G97" s="1484"/>
      <c r="H97" s="1484"/>
      <c r="I97" s="1484"/>
      <c r="J97" s="1484"/>
      <c r="K97" s="1484"/>
      <c r="L97" s="1484"/>
      <c r="M97" s="1484"/>
      <c r="N97" s="1484"/>
      <c r="O97" s="1484"/>
      <c r="P97" s="1484"/>
      <c r="Q97" s="1484"/>
      <c r="R97" s="1484"/>
      <c r="S97" s="1484"/>
      <c r="T97" s="1484"/>
      <c r="U97" s="1484"/>
      <c r="V97" s="1484"/>
      <c r="W97" s="1484"/>
      <c r="X97" s="1484"/>
      <c r="Y97" s="1484"/>
      <c r="Z97" s="1484"/>
      <c r="AA97" s="1484"/>
      <c r="AB97" s="1484"/>
      <c r="AC97" s="1484"/>
      <c r="AD97" s="1484"/>
      <c r="AE97" s="1484"/>
      <c r="AF97" s="1484"/>
      <c r="AG97" s="1484"/>
      <c r="AH97" s="1484"/>
      <c r="AI97" s="1484"/>
      <c r="AJ97" s="1484"/>
      <c r="AK97" s="1484"/>
    </row>
    <row r="98" spans="1:38">
      <c r="A98" s="4"/>
      <c r="D98" s="99"/>
      <c r="E98" s="1804" t="s">
        <v>1175</v>
      </c>
      <c r="F98" s="1804"/>
      <c r="G98" s="1804"/>
      <c r="H98" s="1804"/>
      <c r="I98" s="1804"/>
      <c r="J98" s="1804"/>
      <c r="K98" s="1804"/>
      <c r="L98" s="1804"/>
      <c r="M98" s="1804"/>
      <c r="N98" s="1804"/>
      <c r="O98" s="1804"/>
      <c r="P98" s="1804"/>
      <c r="Q98" s="1804"/>
      <c r="R98" s="1804"/>
      <c r="S98" s="1804"/>
      <c r="T98" s="1804"/>
      <c r="U98" s="1804"/>
      <c r="V98" s="1804"/>
      <c r="W98" s="1804"/>
      <c r="X98" s="1804"/>
      <c r="Y98" s="1804"/>
      <c r="Z98" s="1804"/>
      <c r="AA98" s="1804"/>
      <c r="AB98" s="1804"/>
      <c r="AC98" s="1804"/>
      <c r="AD98" s="1804"/>
      <c r="AE98" s="1804"/>
      <c r="AF98" s="1804"/>
      <c r="AG98" s="1804"/>
      <c r="AH98" s="1804"/>
      <c r="AI98" s="1804"/>
      <c r="AJ98" s="1804"/>
      <c r="AK98" s="1804"/>
    </row>
    <row r="99" spans="1:38">
      <c r="A99" s="4"/>
      <c r="D99" s="99"/>
      <c r="E99" s="1804"/>
      <c r="F99" s="1804"/>
      <c r="G99" s="1804"/>
      <c r="H99" s="1804"/>
      <c r="I99" s="1804"/>
      <c r="J99" s="1804"/>
      <c r="K99" s="1804"/>
      <c r="L99" s="1804"/>
      <c r="M99" s="1804"/>
      <c r="N99" s="1804"/>
      <c r="O99" s="1804"/>
      <c r="P99" s="1804"/>
      <c r="Q99" s="1804"/>
      <c r="R99" s="1804"/>
      <c r="S99" s="1804"/>
      <c r="T99" s="1804"/>
      <c r="U99" s="1804"/>
      <c r="V99" s="1804"/>
      <c r="W99" s="1804"/>
      <c r="X99" s="1804"/>
      <c r="Y99" s="1804"/>
      <c r="Z99" s="1804"/>
      <c r="AA99" s="1804"/>
      <c r="AB99" s="1804"/>
      <c r="AC99" s="1804"/>
      <c r="AD99" s="1804"/>
      <c r="AE99" s="1804"/>
      <c r="AF99" s="1804"/>
      <c r="AG99" s="1804"/>
      <c r="AH99" s="1804"/>
      <c r="AI99" s="1804"/>
      <c r="AJ99" s="1804"/>
      <c r="AK99" s="180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84" t="s">
        <v>1176</v>
      </c>
      <c r="H205" s="1484"/>
      <c r="I205" s="1484"/>
      <c r="J205" s="1484"/>
      <c r="K205" s="1484"/>
      <c r="L205" s="1484"/>
      <c r="M205" s="1484"/>
      <c r="N205" s="1484"/>
      <c r="O205" s="1484"/>
      <c r="P205" s="1484"/>
      <c r="Q205" s="1484"/>
      <c r="R205" s="1484"/>
      <c r="S205" s="1484"/>
      <c r="T205" s="1484"/>
      <c r="U205" s="1484"/>
      <c r="V205" s="1484"/>
      <c r="W205" s="1484"/>
      <c r="X205" s="1484"/>
      <c r="Y205" s="1484"/>
      <c r="Z205" s="1484"/>
      <c r="AA205" s="1484"/>
      <c r="AB205" s="1484"/>
      <c r="AC205" s="1484"/>
      <c r="AD205" s="1484"/>
      <c r="AE205" s="1484"/>
      <c r="AF205" s="1484"/>
      <c r="AG205" s="1484"/>
      <c r="AH205" s="1484"/>
      <c r="AI205" s="1484"/>
      <c r="AJ205" s="1484"/>
      <c r="AK205" s="1484"/>
    </row>
    <row r="206" spans="2:37">
      <c r="B206" s="4"/>
      <c r="C206" s="4"/>
      <c r="D206" s="2"/>
      <c r="G206" s="1484"/>
      <c r="H206" s="1484"/>
      <c r="I206" s="1484"/>
      <c r="J206" s="1484"/>
      <c r="K206" s="1484"/>
      <c r="L206" s="1484"/>
      <c r="M206" s="1484"/>
      <c r="N206" s="1484"/>
      <c r="O206" s="1484"/>
      <c r="P206" s="1484"/>
      <c r="Q206" s="1484"/>
      <c r="R206" s="1484"/>
      <c r="S206" s="1484"/>
      <c r="T206" s="1484"/>
      <c r="U206" s="1484"/>
      <c r="V206" s="1484"/>
      <c r="W206" s="1484"/>
      <c r="X206" s="1484"/>
      <c r="Y206" s="1484"/>
      <c r="Z206" s="1484"/>
      <c r="AA206" s="1484"/>
      <c r="AB206" s="1484"/>
      <c r="AC206" s="1484"/>
      <c r="AD206" s="1484"/>
      <c r="AE206" s="1484"/>
      <c r="AF206" s="1484"/>
      <c r="AG206" s="1484"/>
      <c r="AH206" s="1484"/>
      <c r="AI206" s="1484"/>
      <c r="AJ206" s="1484"/>
      <c r="AK206" s="1484"/>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84" t="s">
        <v>1155</v>
      </c>
      <c r="G336" s="1484"/>
      <c r="H336" s="1484"/>
      <c r="I336" s="1484"/>
      <c r="J336" s="1484"/>
      <c r="K336" s="1484"/>
      <c r="L336" s="1484"/>
      <c r="M336" s="1484"/>
      <c r="N336" s="1484"/>
      <c r="O336" s="1484"/>
      <c r="P336" s="1484"/>
      <c r="Q336" s="1484"/>
      <c r="R336" s="1484"/>
      <c r="S336" s="1484"/>
      <c r="T336" s="1484"/>
      <c r="U336" s="1484"/>
      <c r="V336" s="1484"/>
      <c r="W336" s="1484"/>
      <c r="X336" s="1484"/>
      <c r="Y336" s="1484"/>
      <c r="Z336" s="1484"/>
      <c r="AA336" s="1484"/>
      <c r="AB336" s="1484"/>
      <c r="AC336" s="1484"/>
      <c r="AD336" s="1484"/>
      <c r="AE336" s="1484"/>
      <c r="AF336" s="1484"/>
      <c r="AG336" s="1484"/>
      <c r="AH336" s="1484"/>
      <c r="AI336" s="1484"/>
      <c r="AJ336" s="1484"/>
      <c r="AK336" s="1484"/>
    </row>
    <row r="337" spans="2:37">
      <c r="B337" s="2"/>
      <c r="E337" s="4"/>
      <c r="F337" s="1484"/>
      <c r="G337" s="1484"/>
      <c r="H337" s="1484"/>
      <c r="I337" s="1484"/>
      <c r="J337" s="1484"/>
      <c r="K337" s="1484"/>
      <c r="L337" s="1484"/>
      <c r="M337" s="1484"/>
      <c r="N337" s="1484"/>
      <c r="O337" s="1484"/>
      <c r="P337" s="1484"/>
      <c r="Q337" s="1484"/>
      <c r="R337" s="1484"/>
      <c r="S337" s="1484"/>
      <c r="T337" s="1484"/>
      <c r="U337" s="1484"/>
      <c r="V337" s="1484"/>
      <c r="W337" s="1484"/>
      <c r="X337" s="1484"/>
      <c r="Y337" s="1484"/>
      <c r="Z337" s="1484"/>
      <c r="AA337" s="1484"/>
      <c r="AB337" s="1484"/>
      <c r="AC337" s="1484"/>
      <c r="AD337" s="1484"/>
      <c r="AE337" s="1484"/>
      <c r="AF337" s="1484"/>
      <c r="AG337" s="1484"/>
      <c r="AH337" s="1484"/>
      <c r="AI337" s="1484"/>
      <c r="AJ337" s="1484"/>
      <c r="AK337" s="1484"/>
    </row>
    <row r="338" spans="2:37">
      <c r="B338" s="2"/>
      <c r="E338" s="4"/>
      <c r="F338" s="1484"/>
      <c r="G338" s="1484"/>
      <c r="H338" s="1484"/>
      <c r="I338" s="1484"/>
      <c r="J338" s="1484"/>
      <c r="K338" s="1484"/>
      <c r="L338" s="1484"/>
      <c r="M338" s="1484"/>
      <c r="N338" s="1484"/>
      <c r="O338" s="1484"/>
      <c r="P338" s="1484"/>
      <c r="Q338" s="1484"/>
      <c r="R338" s="1484"/>
      <c r="S338" s="1484"/>
      <c r="T338" s="1484"/>
      <c r="U338" s="1484"/>
      <c r="V338" s="1484"/>
      <c r="W338" s="1484"/>
      <c r="X338" s="1484"/>
      <c r="Y338" s="1484"/>
      <c r="Z338" s="1484"/>
      <c r="AA338" s="1484"/>
      <c r="AB338" s="1484"/>
      <c r="AC338" s="1484"/>
      <c r="AD338" s="1484"/>
      <c r="AE338" s="1484"/>
      <c r="AF338" s="1484"/>
      <c r="AG338" s="1484"/>
      <c r="AH338" s="1484"/>
      <c r="AI338" s="1484"/>
      <c r="AJ338" s="1484"/>
      <c r="AK338" s="1484"/>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805" t="s">
        <v>1235</v>
      </c>
      <c r="F341" s="1805"/>
      <c r="G341" s="1805"/>
      <c r="H341" s="1805"/>
      <c r="I341" s="1805"/>
      <c r="J341" s="1805"/>
      <c r="K341" s="1805"/>
      <c r="L341" s="1805"/>
      <c r="M341" s="1805"/>
      <c r="N341" s="1805"/>
      <c r="O341" s="1805"/>
      <c r="P341" s="1805"/>
      <c r="Q341" s="1805"/>
      <c r="R341" s="1805"/>
      <c r="S341" s="1805"/>
      <c r="T341" s="1805"/>
      <c r="U341" s="1805"/>
      <c r="V341" s="1805"/>
      <c r="W341" s="1805"/>
      <c r="X341" s="1805"/>
      <c r="Y341" s="1805"/>
      <c r="Z341" s="1805"/>
      <c r="AA341" s="1805"/>
      <c r="AB341" s="1805"/>
      <c r="AC341" s="1805"/>
      <c r="AD341" s="1805"/>
      <c r="AE341" s="1805"/>
      <c r="AF341" s="1805"/>
      <c r="AG341" s="1805"/>
      <c r="AH341" s="1805"/>
      <c r="AI341" s="1805"/>
      <c r="AJ341" s="1805"/>
      <c r="AK341" s="1805"/>
    </row>
    <row r="342" spans="2:37">
      <c r="B342" s="2"/>
      <c r="E342" s="1805"/>
      <c r="F342" s="1805"/>
      <c r="G342" s="1805"/>
      <c r="H342" s="1805"/>
      <c r="I342" s="1805"/>
      <c r="J342" s="1805"/>
      <c r="K342" s="1805"/>
      <c r="L342" s="1805"/>
      <c r="M342" s="1805"/>
      <c r="N342" s="1805"/>
      <c r="O342" s="1805"/>
      <c r="P342" s="1805"/>
      <c r="Q342" s="1805"/>
      <c r="R342" s="1805"/>
      <c r="S342" s="1805"/>
      <c r="T342" s="1805"/>
      <c r="U342" s="1805"/>
      <c r="V342" s="1805"/>
      <c r="W342" s="1805"/>
      <c r="X342" s="1805"/>
      <c r="Y342" s="1805"/>
      <c r="Z342" s="1805"/>
      <c r="AA342" s="1805"/>
      <c r="AB342" s="1805"/>
      <c r="AC342" s="1805"/>
      <c r="AD342" s="1805"/>
      <c r="AE342" s="1805"/>
      <c r="AF342" s="1805"/>
      <c r="AG342" s="1805"/>
      <c r="AH342" s="1805"/>
      <c r="AI342" s="1805"/>
      <c r="AJ342" s="1805"/>
      <c r="AK342" s="1805"/>
    </row>
    <row r="343" spans="2:37">
      <c r="B343" s="2"/>
      <c r="E343" s="1805"/>
      <c r="F343" s="1805"/>
      <c r="G343" s="1805"/>
      <c r="H343" s="1805"/>
      <c r="I343" s="1805"/>
      <c r="J343" s="1805"/>
      <c r="K343" s="1805"/>
      <c r="L343" s="1805"/>
      <c r="M343" s="1805"/>
      <c r="N343" s="1805"/>
      <c r="O343" s="1805"/>
      <c r="P343" s="1805"/>
      <c r="Q343" s="1805"/>
      <c r="R343" s="1805"/>
      <c r="S343" s="1805"/>
      <c r="T343" s="1805"/>
      <c r="U343" s="1805"/>
      <c r="V343" s="1805"/>
      <c r="W343" s="1805"/>
      <c r="X343" s="1805"/>
      <c r="Y343" s="1805"/>
      <c r="Z343" s="1805"/>
      <c r="AA343" s="1805"/>
      <c r="AB343" s="1805"/>
      <c r="AC343" s="1805"/>
      <c r="AD343" s="1805"/>
      <c r="AE343" s="1805"/>
      <c r="AF343" s="1805"/>
      <c r="AG343" s="1805"/>
      <c r="AH343" s="1805"/>
      <c r="AI343" s="1805"/>
      <c r="AJ343" s="1805"/>
      <c r="AK343" s="1805"/>
    </row>
    <row r="344" spans="2:37">
      <c r="B344" s="2"/>
      <c r="E344" s="1805"/>
      <c r="F344" s="1805"/>
      <c r="G344" s="1805"/>
      <c r="H344" s="1805"/>
      <c r="I344" s="1805"/>
      <c r="J344" s="1805"/>
      <c r="K344" s="1805"/>
      <c r="L344" s="1805"/>
      <c r="M344" s="1805"/>
      <c r="N344" s="1805"/>
      <c r="O344" s="1805"/>
      <c r="P344" s="1805"/>
      <c r="Q344" s="1805"/>
      <c r="R344" s="1805"/>
      <c r="S344" s="1805"/>
      <c r="T344" s="1805"/>
      <c r="U344" s="1805"/>
      <c r="V344" s="1805"/>
      <c r="W344" s="1805"/>
      <c r="X344" s="1805"/>
      <c r="Y344" s="1805"/>
      <c r="Z344" s="1805"/>
      <c r="AA344" s="1805"/>
      <c r="AB344" s="1805"/>
      <c r="AC344" s="1805"/>
      <c r="AD344" s="1805"/>
      <c r="AE344" s="1805"/>
      <c r="AF344" s="1805"/>
      <c r="AG344" s="1805"/>
      <c r="AH344" s="1805"/>
      <c r="AI344" s="1805"/>
      <c r="AJ344" s="1805"/>
      <c r="AK344" s="1805"/>
    </row>
    <row r="345" spans="2:37">
      <c r="B345" s="2"/>
      <c r="E345" s="1805"/>
      <c r="F345" s="1805"/>
      <c r="G345" s="1805"/>
      <c r="H345" s="1805"/>
      <c r="I345" s="1805"/>
      <c r="J345" s="1805"/>
      <c r="K345" s="1805"/>
      <c r="L345" s="1805"/>
      <c r="M345" s="1805"/>
      <c r="N345" s="1805"/>
      <c r="O345" s="1805"/>
      <c r="P345" s="1805"/>
      <c r="Q345" s="1805"/>
      <c r="R345" s="1805"/>
      <c r="S345" s="1805"/>
      <c r="T345" s="1805"/>
      <c r="U345" s="1805"/>
      <c r="V345" s="1805"/>
      <c r="W345" s="1805"/>
      <c r="X345" s="1805"/>
      <c r="Y345" s="1805"/>
      <c r="Z345" s="1805"/>
      <c r="AA345" s="1805"/>
      <c r="AB345" s="1805"/>
      <c r="AC345" s="1805"/>
      <c r="AD345" s="1805"/>
      <c r="AE345" s="1805"/>
      <c r="AF345" s="1805"/>
      <c r="AG345" s="1805"/>
      <c r="AH345" s="1805"/>
      <c r="AI345" s="1805"/>
      <c r="AJ345" s="1805"/>
      <c r="AK345" s="1805"/>
    </row>
    <row r="346" spans="2:37">
      <c r="B346" s="2"/>
      <c r="E346" s="3" t="s">
        <v>112</v>
      </c>
      <c r="F346" s="1484" t="s">
        <v>1237</v>
      </c>
      <c r="G346" s="1484"/>
      <c r="H346" s="1484"/>
      <c r="I346" s="1484"/>
      <c r="J346" s="1484"/>
      <c r="K346" s="1484"/>
      <c r="L346" s="1484"/>
      <c r="M346" s="1484"/>
      <c r="N346" s="1484"/>
      <c r="O346" s="1484"/>
      <c r="P346" s="1484"/>
      <c r="Q346" s="1484"/>
      <c r="R346" s="1484"/>
      <c r="S346" s="1484"/>
      <c r="T346" s="1484"/>
      <c r="U346" s="1484"/>
      <c r="V346" s="1484"/>
      <c r="W346" s="1484"/>
      <c r="X346" s="1484"/>
      <c r="Y346" s="1484"/>
      <c r="Z346" s="1484"/>
      <c r="AA346" s="1484"/>
      <c r="AB346" s="1484"/>
      <c r="AC346" s="1484"/>
      <c r="AD346" s="1484"/>
      <c r="AE346" s="1484"/>
      <c r="AF346" s="1484"/>
      <c r="AG346" s="1484"/>
      <c r="AH346" s="1484"/>
      <c r="AI346" s="1484"/>
      <c r="AJ346" s="1484"/>
      <c r="AK346" s="1484"/>
    </row>
    <row r="347" spans="2:37">
      <c r="B347" s="2"/>
      <c r="E347" s="3"/>
      <c r="F347" s="1484"/>
      <c r="G347" s="1484"/>
      <c r="H347" s="1484"/>
      <c r="I347" s="1484"/>
      <c r="J347" s="1484"/>
      <c r="K347" s="1484"/>
      <c r="L347" s="1484"/>
      <c r="M347" s="1484"/>
      <c r="N347" s="1484"/>
      <c r="O347" s="1484"/>
      <c r="P347" s="1484"/>
      <c r="Q347" s="1484"/>
      <c r="R347" s="1484"/>
      <c r="S347" s="1484"/>
      <c r="T347" s="1484"/>
      <c r="U347" s="1484"/>
      <c r="V347" s="1484"/>
      <c r="W347" s="1484"/>
      <c r="X347" s="1484"/>
      <c r="Y347" s="1484"/>
      <c r="Z347" s="1484"/>
      <c r="AA347" s="1484"/>
      <c r="AB347" s="1484"/>
      <c r="AC347" s="1484"/>
      <c r="AD347" s="1484"/>
      <c r="AE347" s="1484"/>
      <c r="AF347" s="1484"/>
      <c r="AG347" s="1484"/>
      <c r="AH347" s="1484"/>
      <c r="AI347" s="1484"/>
      <c r="AJ347" s="1484"/>
      <c r="AK347" s="1484"/>
    </row>
    <row r="348" spans="2:37">
      <c r="B348" s="2"/>
      <c r="E348" s="3"/>
      <c r="F348" s="1484"/>
      <c r="G348" s="1484"/>
      <c r="H348" s="1484"/>
      <c r="I348" s="1484"/>
      <c r="J348" s="1484"/>
      <c r="K348" s="1484"/>
      <c r="L348" s="1484"/>
      <c r="M348" s="1484"/>
      <c r="N348" s="1484"/>
      <c r="O348" s="1484"/>
      <c r="P348" s="1484"/>
      <c r="Q348" s="1484"/>
      <c r="R348" s="1484"/>
      <c r="S348" s="1484"/>
      <c r="T348" s="1484"/>
      <c r="U348" s="1484"/>
      <c r="V348" s="1484"/>
      <c r="W348" s="1484"/>
      <c r="X348" s="1484"/>
      <c r="Y348" s="1484"/>
      <c r="Z348" s="1484"/>
      <c r="AA348" s="1484"/>
      <c r="AB348" s="1484"/>
      <c r="AC348" s="1484"/>
      <c r="AD348" s="1484"/>
      <c r="AE348" s="1484"/>
      <c r="AF348" s="1484"/>
      <c r="AG348" s="1484"/>
      <c r="AH348" s="1484"/>
      <c r="AI348" s="1484"/>
      <c r="AJ348" s="1484"/>
      <c r="AK348" s="1484"/>
    </row>
    <row r="349" spans="2:37">
      <c r="B349" s="2"/>
      <c r="E349" s="3"/>
      <c r="F349" s="1484"/>
      <c r="G349" s="1484"/>
      <c r="H349" s="1484"/>
      <c r="I349" s="1484"/>
      <c r="J349" s="1484"/>
      <c r="K349" s="1484"/>
      <c r="L349" s="1484"/>
      <c r="M349" s="1484"/>
      <c r="N349" s="1484"/>
      <c r="O349" s="1484"/>
      <c r="P349" s="1484"/>
      <c r="Q349" s="1484"/>
      <c r="R349" s="1484"/>
      <c r="S349" s="1484"/>
      <c r="T349" s="1484"/>
      <c r="U349" s="1484"/>
      <c r="V349" s="1484"/>
      <c r="W349" s="1484"/>
      <c r="X349" s="1484"/>
      <c r="Y349" s="1484"/>
      <c r="Z349" s="1484"/>
      <c r="AA349" s="1484"/>
      <c r="AB349" s="1484"/>
      <c r="AC349" s="1484"/>
      <c r="AD349" s="1484"/>
      <c r="AE349" s="1484"/>
      <c r="AF349" s="1484"/>
      <c r="AG349" s="1484"/>
      <c r="AH349" s="1484"/>
      <c r="AI349" s="1484"/>
      <c r="AJ349" s="1484"/>
      <c r="AK349" s="1484"/>
    </row>
    <row r="350" spans="2:37">
      <c r="B350" s="2"/>
      <c r="E350" s="3" t="s">
        <v>113</v>
      </c>
      <c r="F350" s="1484" t="s">
        <v>1236</v>
      </c>
      <c r="G350" s="1484"/>
      <c r="H350" s="1484"/>
      <c r="I350" s="1484"/>
      <c r="J350" s="1484"/>
      <c r="K350" s="1484"/>
      <c r="L350" s="1484"/>
      <c r="M350" s="1484"/>
      <c r="N350" s="1484"/>
      <c r="O350" s="1484"/>
      <c r="P350" s="1484"/>
      <c r="Q350" s="1484"/>
      <c r="R350" s="1484"/>
      <c r="S350" s="1484"/>
      <c r="T350" s="1484"/>
      <c r="U350" s="1484"/>
      <c r="V350" s="1484"/>
      <c r="W350" s="1484"/>
      <c r="X350" s="1484"/>
      <c r="Y350" s="1484"/>
      <c r="Z350" s="1484"/>
      <c r="AA350" s="1484"/>
      <c r="AB350" s="1484"/>
      <c r="AC350" s="1484"/>
      <c r="AD350" s="1484"/>
      <c r="AE350" s="1484"/>
      <c r="AF350" s="1484"/>
      <c r="AG350" s="1484"/>
      <c r="AH350" s="1484"/>
      <c r="AI350" s="1484"/>
      <c r="AJ350" s="1484"/>
      <c r="AK350" s="1484"/>
    </row>
    <row r="351" spans="2:37">
      <c r="B351" s="2"/>
      <c r="F351" s="1484"/>
      <c r="G351" s="1484"/>
      <c r="H351" s="1484"/>
      <c r="I351" s="1484"/>
      <c r="J351" s="1484"/>
      <c r="K351" s="1484"/>
      <c r="L351" s="1484"/>
      <c r="M351" s="1484"/>
      <c r="N351" s="1484"/>
      <c r="O351" s="1484"/>
      <c r="P351" s="1484"/>
      <c r="Q351" s="1484"/>
      <c r="R351" s="1484"/>
      <c r="S351" s="1484"/>
      <c r="T351" s="1484"/>
      <c r="U351" s="1484"/>
      <c r="V351" s="1484"/>
      <c r="W351" s="1484"/>
      <c r="X351" s="1484"/>
      <c r="Y351" s="1484"/>
      <c r="Z351" s="1484"/>
      <c r="AA351" s="1484"/>
      <c r="AB351" s="1484"/>
      <c r="AC351" s="1484"/>
      <c r="AD351" s="1484"/>
      <c r="AE351" s="1484"/>
      <c r="AF351" s="1484"/>
      <c r="AG351" s="1484"/>
      <c r="AH351" s="1484"/>
      <c r="AI351" s="1484"/>
      <c r="AJ351" s="1484"/>
      <c r="AK351" s="1484"/>
    </row>
    <row r="352" spans="2:37">
      <c r="B352" s="2"/>
      <c r="F352" s="1484"/>
      <c r="G352" s="1484"/>
      <c r="H352" s="1484"/>
      <c r="I352" s="1484"/>
      <c r="J352" s="1484"/>
      <c r="K352" s="1484"/>
      <c r="L352" s="1484"/>
      <c r="M352" s="1484"/>
      <c r="N352" s="1484"/>
      <c r="O352" s="1484"/>
      <c r="P352" s="1484"/>
      <c r="Q352" s="1484"/>
      <c r="R352" s="1484"/>
      <c r="S352" s="1484"/>
      <c r="T352" s="1484"/>
      <c r="U352" s="1484"/>
      <c r="V352" s="1484"/>
      <c r="W352" s="1484"/>
      <c r="X352" s="1484"/>
      <c r="Y352" s="1484"/>
      <c r="Z352" s="1484"/>
      <c r="AA352" s="1484"/>
      <c r="AB352" s="1484"/>
      <c r="AC352" s="1484"/>
      <c r="AD352" s="1484"/>
      <c r="AE352" s="1484"/>
      <c r="AF352" s="1484"/>
      <c r="AG352" s="1484"/>
      <c r="AH352" s="1484"/>
      <c r="AI352" s="1484"/>
      <c r="AJ352" s="1484"/>
      <c r="AK352" s="1484"/>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7" t="s">
        <v>1226</v>
      </c>
      <c r="F365" s="1807"/>
      <c r="G365" s="1807"/>
      <c r="H365" s="1807"/>
      <c r="I365" s="1807"/>
      <c r="J365" s="1807"/>
      <c r="K365" s="1807"/>
      <c r="L365" s="1807"/>
      <c r="M365" s="1807"/>
      <c r="N365" s="1807"/>
      <c r="O365" s="1807"/>
      <c r="P365" s="1807"/>
      <c r="Q365" s="1807"/>
      <c r="R365" s="1807"/>
      <c r="S365" s="1807"/>
      <c r="T365" s="1807"/>
      <c r="U365" s="1807"/>
      <c r="V365" s="1807"/>
      <c r="W365" s="1807"/>
      <c r="X365" s="1807"/>
      <c r="Y365" s="1807"/>
      <c r="Z365" s="1807"/>
      <c r="AA365" s="1807"/>
      <c r="AB365" s="1807"/>
      <c r="AC365" s="1807"/>
      <c r="AD365" s="1807"/>
      <c r="AE365" s="1807"/>
      <c r="AF365" s="1807"/>
      <c r="AG365" s="1807"/>
      <c r="AH365" s="1807"/>
      <c r="AI365" s="1807"/>
      <c r="AJ365" s="1807"/>
      <c r="AK365" s="1807"/>
      <c r="AL365" s="1807"/>
    </row>
    <row r="366" spans="1:38">
      <c r="B366" s="2"/>
      <c r="E366" s="1807"/>
      <c r="F366" s="1807"/>
      <c r="G366" s="1807"/>
      <c r="H366" s="1807"/>
      <c r="I366" s="1807"/>
      <c r="J366" s="1807"/>
      <c r="K366" s="1807"/>
      <c r="L366" s="1807"/>
      <c r="M366" s="1807"/>
      <c r="N366" s="1807"/>
      <c r="O366" s="1807"/>
      <c r="P366" s="1807"/>
      <c r="Q366" s="1807"/>
      <c r="R366" s="1807"/>
      <c r="S366" s="1807"/>
      <c r="T366" s="1807"/>
      <c r="U366" s="1807"/>
      <c r="V366" s="1807"/>
      <c r="W366" s="1807"/>
      <c r="X366" s="1807"/>
      <c r="Y366" s="1807"/>
      <c r="Z366" s="1807"/>
      <c r="AA366" s="1807"/>
      <c r="AB366" s="1807"/>
      <c r="AC366" s="1807"/>
      <c r="AD366" s="1807"/>
      <c r="AE366" s="1807"/>
      <c r="AF366" s="1807"/>
      <c r="AG366" s="1807"/>
      <c r="AH366" s="1807"/>
      <c r="AI366" s="1807"/>
      <c r="AJ366" s="1807"/>
      <c r="AK366" s="1807"/>
      <c r="AL366" s="1807"/>
    </row>
    <row r="367" spans="1:38" s="1808" customFormat="1">
      <c r="A367"/>
      <c r="B367" s="2"/>
      <c r="C367"/>
      <c r="D367"/>
      <c r="E367" s="1515" t="s">
        <v>1258</v>
      </c>
    </row>
    <row r="368" spans="1:38" s="180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84" t="s">
        <v>1269</v>
      </c>
      <c r="G386" s="1484"/>
      <c r="H386" s="1484"/>
      <c r="I386" s="1484"/>
      <c r="J386" s="1484"/>
      <c r="K386" s="1484"/>
      <c r="L386" s="1484"/>
      <c r="M386" s="1484"/>
      <c r="N386" s="1484"/>
      <c r="O386" s="1484"/>
      <c r="P386" s="1484"/>
      <c r="Q386" s="1484"/>
      <c r="R386" s="1484"/>
      <c r="S386" s="1484"/>
      <c r="T386" s="1484"/>
      <c r="U386" s="1484"/>
      <c r="V386" s="1484"/>
      <c r="W386" s="1484"/>
      <c r="X386" s="1484"/>
      <c r="Y386" s="1484"/>
      <c r="Z386" s="1484"/>
      <c r="AA386" s="1484"/>
      <c r="AB386" s="1484"/>
      <c r="AC386" s="1484"/>
      <c r="AD386" s="1484"/>
      <c r="AE386" s="1484"/>
      <c r="AF386" s="1484"/>
      <c r="AG386" s="1484"/>
      <c r="AH386" s="1484"/>
      <c r="AI386" s="1484"/>
      <c r="AJ386" s="1484"/>
      <c r="AK386" s="1484"/>
    </row>
    <row r="387" spans="1:38">
      <c r="B387" s="2"/>
      <c r="E387" s="3"/>
      <c r="F387" s="1484"/>
      <c r="G387" s="1484"/>
      <c r="H387" s="1484"/>
      <c r="I387" s="1484"/>
      <c r="J387" s="1484"/>
      <c r="K387" s="1484"/>
      <c r="L387" s="1484"/>
      <c r="M387" s="1484"/>
      <c r="N387" s="1484"/>
      <c r="O387" s="1484"/>
      <c r="P387" s="1484"/>
      <c r="Q387" s="1484"/>
      <c r="R387" s="1484"/>
      <c r="S387" s="1484"/>
      <c r="T387" s="1484"/>
      <c r="U387" s="1484"/>
      <c r="V387" s="1484"/>
      <c r="W387" s="1484"/>
      <c r="X387" s="1484"/>
      <c r="Y387" s="1484"/>
      <c r="Z387" s="1484"/>
      <c r="AA387" s="1484"/>
      <c r="AB387" s="1484"/>
      <c r="AC387" s="1484"/>
      <c r="AD387" s="1484"/>
      <c r="AE387" s="1484"/>
      <c r="AF387" s="1484"/>
      <c r="AG387" s="1484"/>
      <c r="AH387" s="1484"/>
      <c r="AI387" s="1484"/>
      <c r="AJ387" s="1484"/>
      <c r="AK387" s="1484"/>
    </row>
    <row r="388" spans="1:38">
      <c r="B388" s="2"/>
      <c r="E388" s="3"/>
      <c r="F388" s="1484"/>
      <c r="G388" s="1484"/>
      <c r="H388" s="1484"/>
      <c r="I388" s="1484"/>
      <c r="J388" s="1484"/>
      <c r="K388" s="1484"/>
      <c r="L388" s="1484"/>
      <c r="M388" s="1484"/>
      <c r="N388" s="1484"/>
      <c r="O388" s="1484"/>
      <c r="P388" s="1484"/>
      <c r="Q388" s="1484"/>
      <c r="R388" s="1484"/>
      <c r="S388" s="1484"/>
      <c r="T388" s="1484"/>
      <c r="U388" s="1484"/>
      <c r="V388" s="1484"/>
      <c r="W388" s="1484"/>
      <c r="X388" s="1484"/>
      <c r="Y388" s="1484"/>
      <c r="Z388" s="1484"/>
      <c r="AA388" s="1484"/>
      <c r="AB388" s="1484"/>
      <c r="AC388" s="1484"/>
      <c r="AD388" s="1484"/>
      <c r="AE388" s="1484"/>
      <c r="AF388" s="1484"/>
      <c r="AG388" s="1484"/>
      <c r="AH388" s="1484"/>
      <c r="AI388" s="1484"/>
      <c r="AJ388" s="1484"/>
      <c r="AK388" s="1484"/>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H52" sqref="H52"/>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2" t="s">
        <v>1574</v>
      </c>
      <c r="B1" s="2662"/>
      <c r="C1" s="2662"/>
      <c r="D1" s="2662"/>
      <c r="E1" s="2662"/>
      <c r="F1" s="2662"/>
      <c r="G1" s="2662"/>
      <c r="H1" s="2662"/>
      <c r="I1" s="2662"/>
      <c r="J1" s="2662"/>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36469116</v>
      </c>
      <c r="I3" s="1099"/>
    </row>
    <row r="4" spans="1:13" s="1046" customFormat="1" ht="20.100000000000001" customHeight="1">
      <c r="B4" s="1088"/>
      <c r="D4" s="1102"/>
      <c r="F4" s="1087" t="s">
        <v>1964</v>
      </c>
      <c r="G4" s="1086" t="s">
        <v>1963</v>
      </c>
      <c r="H4" s="1201">
        <f>I18</f>
        <v>17345087.432946429</v>
      </c>
      <c r="I4" s="1089"/>
      <c r="K4" s="1050"/>
    </row>
    <row r="5" spans="1:13" s="1046" customFormat="1" ht="20.100000000000001" customHeight="1" thickBot="1">
      <c r="B5" s="1090"/>
      <c r="C5" s="1091"/>
      <c r="D5" s="1103"/>
      <c r="E5" s="1092"/>
      <c r="F5" s="1103" t="s">
        <v>1914</v>
      </c>
      <c r="G5" s="1104"/>
      <c r="H5" s="1100">
        <f>IFERROR(H3/H4,0)</f>
        <v>2.1025616700396736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1912</v>
      </c>
      <c r="C8" s="2666"/>
      <c r="D8" s="2666"/>
      <c r="E8" s="2667"/>
      <c r="G8" s="2646" t="s">
        <v>1913</v>
      </c>
      <c r="H8" s="2647"/>
      <c r="I8" s="2648"/>
      <c r="K8" s="1052"/>
    </row>
    <row r="9" spans="1:13" ht="15" customHeight="1">
      <c r="A9" s="1041"/>
      <c r="B9" s="2663" t="s">
        <v>1946</v>
      </c>
      <c r="C9" s="2663"/>
      <c r="D9" s="2663"/>
      <c r="E9" s="1054">
        <f>G33</f>
        <v>11950000</v>
      </c>
      <c r="G9" s="2659" t="s">
        <v>1944</v>
      </c>
      <c r="H9" s="2659"/>
      <c r="I9" s="1055">
        <f>MAX(SUMIF(Application!M562:M573,"Loan, Tax-Exempt",Application!AM562:AM573),27.5%*SUM('Sources and Uses Budget'!C8,'Sources and Uses Budget'!S105,'Sources and Uses Budget'!T105))</f>
        <v>16898484.625</v>
      </c>
      <c r="K9" s="1056"/>
      <c r="M9" s="1057"/>
    </row>
    <row r="10" spans="1:13" ht="15" customHeight="1" thickBot="1">
      <c r="A10" s="1041"/>
      <c r="B10" s="2663" t="s">
        <v>1947</v>
      </c>
      <c r="C10" s="2663"/>
      <c r="D10" s="2663"/>
      <c r="E10" s="1055">
        <f>G47</f>
        <v>19279116.000000004</v>
      </c>
      <c r="G10" s="2661" t="s">
        <v>1915</v>
      </c>
      <c r="H10" s="2661"/>
      <c r="I10" s="1134">
        <f>IF(OR(Application!Z205="State Farmworker Credit",Application!Z205="$500M (Farmworker Housing)"),0,'Basis &amp; Credits'!AB78)</f>
        <v>0</v>
      </c>
      <c r="M10" s="1057"/>
    </row>
    <row r="11" spans="1:13" ht="15" customHeight="1">
      <c r="A11" s="1041"/>
      <c r="B11" s="2669" t="s">
        <v>2209</v>
      </c>
      <c r="C11" s="2670"/>
      <c r="D11" s="2671"/>
      <c r="E11" s="1055">
        <f>SUM(E13,E12)</f>
        <v>460000</v>
      </c>
      <c r="G11" s="2668" t="s">
        <v>1955</v>
      </c>
      <c r="H11" s="2668"/>
      <c r="I11" s="1133">
        <f>I9+I10</f>
        <v>16898484.625</v>
      </c>
      <c r="M11" s="1057"/>
    </row>
    <row r="12" spans="1:13" ht="15" customHeight="1">
      <c r="A12" s="1058"/>
      <c r="B12" s="2664" t="s">
        <v>2568</v>
      </c>
      <c r="C12" s="2664"/>
      <c r="D12" s="2664"/>
      <c r="E12" s="1158">
        <f>G56</f>
        <v>460000</v>
      </c>
      <c r="M12" s="1057"/>
    </row>
    <row r="13" spans="1:13" ht="15" customHeight="1">
      <c r="A13" s="1044"/>
      <c r="B13" s="2664" t="s">
        <v>2569</v>
      </c>
      <c r="C13" s="2664"/>
      <c r="D13" s="2664"/>
      <c r="E13" s="1158">
        <f>IF(G67,MAX(G65,G79),G65)</f>
        <v>0</v>
      </c>
      <c r="G13" s="2646" t="s">
        <v>1978</v>
      </c>
      <c r="H13" s="2647"/>
      <c r="I13" s="2648"/>
    </row>
    <row r="14" spans="1:13" ht="15" customHeight="1">
      <c r="A14" s="1044"/>
      <c r="B14" s="2669" t="s">
        <v>2210</v>
      </c>
      <c r="C14" s="2670"/>
      <c r="D14" s="2671"/>
      <c r="E14" s="1160">
        <f>MAX(E15,E16)+E17</f>
        <v>4780000</v>
      </c>
      <c r="G14" s="2659" t="s">
        <v>2585</v>
      </c>
      <c r="H14" s="2659"/>
      <c r="I14" s="1059">
        <f>IF(AND(G134="Yes",G136&lt;&gt;""),IF(OR(G141="Yes",G145="Yes"),18%,15%),0)</f>
        <v>0</v>
      </c>
      <c r="M14" s="1057"/>
    </row>
    <row r="15" spans="1:13" ht="15" customHeight="1">
      <c r="A15" s="1044"/>
      <c r="B15" s="2643" t="s">
        <v>2582</v>
      </c>
      <c r="C15" s="2644"/>
      <c r="D15" s="2645"/>
      <c r="E15" s="1158">
        <f>G94</f>
        <v>0</v>
      </c>
      <c r="G15" s="1131" t="s">
        <v>1956</v>
      </c>
      <c r="H15" s="1131"/>
      <c r="I15" s="1059">
        <f>IF(Application!AJ1041&gt;0,10%,IF(Application!AJ1045&gt;0,5%,0))</f>
        <v>0</v>
      </c>
      <c r="M15" s="1057"/>
    </row>
    <row r="16" spans="1:13" ht="15" customHeight="1">
      <c r="A16" s="1044"/>
      <c r="B16" s="2643" t="s">
        <v>2583</v>
      </c>
      <c r="C16" s="2644"/>
      <c r="D16" s="2645"/>
      <c r="E16" s="1158">
        <f>G104</f>
        <v>0</v>
      </c>
      <c r="G16" s="2659" t="s">
        <v>1957</v>
      </c>
      <c r="H16" s="2659"/>
      <c r="I16" s="1059">
        <f>G155</f>
        <v>-2.642857142857143E-2</v>
      </c>
    </row>
    <row r="17" spans="1:21" ht="15" customHeight="1" thickBot="1">
      <c r="A17" s="1044"/>
      <c r="B17" s="2643" t="s">
        <v>2584</v>
      </c>
      <c r="C17" s="2644"/>
      <c r="D17" s="2645"/>
      <c r="E17" s="1158">
        <f>G129</f>
        <v>4780000</v>
      </c>
      <c r="G17" s="2659" t="s">
        <v>2218</v>
      </c>
      <c r="H17" s="2659"/>
      <c r="I17" s="1059">
        <f>IF(AND(G161="Yes",G159),IF(G165&gt;15%,15%,G165),0)</f>
        <v>0</v>
      </c>
    </row>
    <row r="18" spans="1:21" ht="15" customHeight="1">
      <c r="A18" s="1041"/>
      <c r="B18" s="2660" t="s">
        <v>1911</v>
      </c>
      <c r="C18" s="2660"/>
      <c r="D18" s="2660"/>
      <c r="E18" s="1105">
        <f>SUM(E9:E11,E14)</f>
        <v>36469116</v>
      </c>
      <c r="G18" s="1132" t="s">
        <v>1945</v>
      </c>
      <c r="H18" s="1132"/>
      <c r="I18" s="1106">
        <f>I11-((I11*I14)+(I11*I15)+(I11*I16)+(I11*I17))</f>
        <v>17345087.432946429</v>
      </c>
      <c r="M18" s="1060">
        <f>SUM(Cdlac[Quantity])</f>
        <v>220</v>
      </c>
      <c r="O18" s="1079" t="s">
        <v>582</v>
      </c>
      <c r="P18" s="1039">
        <f>MATCH(Application!T189,Application!CB160:CB217,0)</f>
        <v>34</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15</v>
      </c>
      <c r="N20" s="1066">
        <f>Application!AC726</f>
        <v>0.3</v>
      </c>
      <c r="O20" s="1066">
        <f>IF(Cdlac[[#This Row],[Quantity]]&gt;0,IF(Cdlac[[#This Row],[Federal]],30%,IF(AND(OR(NOT($G$38),$G$38=""),$G$43),40%,Cdlac[[#This Row],[iAMI]])),"")</f>
        <v>0.3</v>
      </c>
      <c r="P20" s="1060" cm="1">
        <f t="array" ref="P20">IF(Cdlac[[#This Row],[Quantity]]&gt;0,INDEX(TcacRents,$P$18,Cdlac[[#This Row],[Bedrooms]]+1)*Cdlac[[#This Row],[AMI]],"")</f>
        <v>723.6</v>
      </c>
      <c r="Q20" s="1157"/>
      <c r="R20" s="1060" cm="1">
        <f t="array" ref="R20">IF(Cdlac[[#This Row],[Quantity]]&gt;0,INDEX(HudFmrs,$P$18,Cdlac[[#This Row],[Bedrooms]]+1),"")</f>
        <v>1777</v>
      </c>
      <c r="S20" s="1060">
        <f>IF(Cdlac[[#This Row],[Quantity]]&gt;0,MAX(0,Cdlac[[#This Row],[Fair Market Rent]]-IF(AND($G$37,$G$38,$G$38&lt;&gt;"",NOT(Cdlac[[#This Row],[Federal]]),Cdlac[[#This Row],[Preservation Rent]]&lt;&gt;""),Cdlac[[#This Row],[Preservation Rent]],Cdlac[[#This Row],[Restricted Rent]])),"")</f>
        <v>1053.4000000000001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5</v>
      </c>
      <c r="N21" s="1066">
        <f>Application!AC727</f>
        <v>0.5</v>
      </c>
      <c r="O21" s="1066">
        <f>IF(Cdlac[[#This Row],[Quantity]]&gt;0,IF(Cdlac[[#This Row],[Federal]],30%,IF(AND(OR(NOT($G$38),$G$38=""),$G$43),40%,Cdlac[[#This Row],[iAMI]])),"")</f>
        <v>0.5</v>
      </c>
      <c r="P21" s="1060" cm="1">
        <f t="array" ref="P21">IF(Cdlac[[#This Row],[Quantity]]&gt;0,INDEX(TcacRents,$P$18,Cdlac[[#This Row],[Bedrooms]]+1)*Cdlac[[#This Row],[AMI]],"")</f>
        <v>1206</v>
      </c>
      <c r="Q21" s="1157"/>
      <c r="R21" s="1060" cm="1">
        <f t="array" ref="R21">IF(Cdlac[[#This Row],[Quantity]]&gt;0,INDEX(HudFmrs,$P$18,Cdlac[[#This Row],[Bedrooms]]+1),"")</f>
        <v>1777</v>
      </c>
      <c r="S21" s="1060">
        <f>IF(Cdlac[[#This Row],[Quantity]]&gt;0,MAX(0,Cdlac[[#This Row],[Fair Market Rent]]-IF(AND($G$37,$G$38,$G$38&lt;&gt;"",NOT(Cdlac[[#This Row],[Federal]]),Cdlac[[#This Row],[Preservation Rent]]&lt;&gt;""),Cdlac[[#This Row],[Preservation Rent]],Cdlac[[#This Row],[Restricted Rent]])),"")</f>
        <v>571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0" t="s">
        <v>1959</v>
      </c>
      <c r="D22" s="2650" t="s">
        <v>1960</v>
      </c>
      <c r="E22" s="2650" t="s">
        <v>1961</v>
      </c>
      <c r="F22" s="2650" t="s">
        <v>2533</v>
      </c>
      <c r="G22" s="2650" t="s">
        <v>1958</v>
      </c>
      <c r="H22" s="1065"/>
      <c r="I22" s="1064"/>
      <c r="L22" s="1039">
        <f>IFERROR(MIN(4,MATCH(Application!B728,UnitSizes,0)-1),"")</f>
        <v>1</v>
      </c>
      <c r="M22" s="1060">
        <f>Application!G728</f>
        <v>124</v>
      </c>
      <c r="N22" s="1066">
        <f>Application!AC728</f>
        <v>0.6</v>
      </c>
      <c r="O22" s="1066">
        <f>IF(Cdlac[[#This Row],[Quantity]]&gt;0,IF(Cdlac[[#This Row],[Federal]],30%,IF(AND(OR(NOT($G$38),$G$38=""),$G$43),40%,Cdlac[[#This Row],[iAMI]])),"")</f>
        <v>0.6</v>
      </c>
      <c r="P22" s="1060" cm="1">
        <f t="array" ref="P22">IF(Cdlac[[#This Row],[Quantity]]&gt;0,INDEX(TcacRents,$P$18,Cdlac[[#This Row],[Bedrooms]]+1)*Cdlac[[#This Row],[AMI]],"")</f>
        <v>1447.2</v>
      </c>
      <c r="Q22" s="1157"/>
      <c r="R22" s="1060" cm="1">
        <f t="array" ref="R22">IF(Cdlac[[#This Row],[Quantity]]&gt;0,INDEX(HudFmrs,$P$18,Cdlac[[#This Row],[Bedrooms]]+1),"")</f>
        <v>1777</v>
      </c>
      <c r="S22" s="1060">
        <f>IF(Cdlac[[#This Row],[Quantity]]&gt;0,MAX(0,Cdlac[[#This Row],[Fair Market Rent]]-IF(AND($G$37,$G$38,$G$38&lt;&gt;"",NOT(Cdlac[[#This Row],[Federal]]),Cdlac[[#This Row],[Preservation Rent]]&lt;&gt;""),Cdlac[[#This Row],[Preservation Rent]],Cdlac[[#This Row],[Restricted Rent]])),"")</f>
        <v>329.79999999999995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1"/>
      <c r="D23" s="2651"/>
      <c r="E23" s="2651"/>
      <c r="F23" s="2651"/>
      <c r="G23" s="2651"/>
      <c r="H23" s="1065"/>
      <c r="I23" s="1064"/>
      <c r="L23" s="1039">
        <f>IFERROR(MIN(4,MATCH(Application!B729,UnitSizes,0)-1),"")</f>
        <v>2</v>
      </c>
      <c r="M23" s="1060">
        <f>Application!G729</f>
        <v>8</v>
      </c>
      <c r="N23" s="1066">
        <f>Application!AC729</f>
        <v>0.3</v>
      </c>
      <c r="O23" s="1066">
        <f>IF(Cdlac[[#This Row],[Quantity]]&gt;0,IF(Cdlac[[#This Row],[Federal]],30%,IF(AND(OR(NOT($G$38),$G$38=""),$G$43),40%,Cdlac[[#This Row],[iAMI]])),"")</f>
        <v>0.3</v>
      </c>
      <c r="P23" s="1060" cm="1">
        <f t="array" ref="P23">IF(Cdlac[[#This Row],[Quantity]]&gt;0,INDEX(TcacRents,$P$18,Cdlac[[#This Row],[Bedrooms]]+1)*Cdlac[[#This Row],[AMI]],"")</f>
        <v>868.19999999999993</v>
      </c>
      <c r="Q23" s="1157"/>
      <c r="R23" s="1060" cm="1">
        <f t="array" ref="R23">IF(Cdlac[[#This Row],[Quantity]]&gt;0,INDEX(HudFmrs,$P$18,Cdlac[[#This Row],[Bedrooms]]+1),"")</f>
        <v>2206</v>
      </c>
      <c r="S23" s="1060">
        <f>IF(Cdlac[[#This Row],[Quantity]]&gt;0,MAX(0,Cdlac[[#This Row],[Fair Market Rent]]-IF(AND($G$37,$G$38,$G$38&lt;&gt;"",NOT(Cdlac[[#This Row],[Federal]]),Cdlac[[#This Row],[Preservation Rent]]&lt;&gt;""),Cdlac[[#This Row],[Preservation Rent]],Cdlac[[#This Row],[Restricted Rent]])),"")</f>
        <v>1337.8000000000002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17</v>
      </c>
      <c r="N24" s="1066">
        <f>Application!AC730</f>
        <v>0.5</v>
      </c>
      <c r="O24" s="1066">
        <f>IF(Cdlac[[#This Row],[Quantity]]&gt;0,IF(Cdlac[[#This Row],[Federal]],30%,IF(AND(OR(NOT($G$38),$G$38=""),$G$43),40%,Cdlac[[#This Row],[iAMI]])),"")</f>
        <v>0.5</v>
      </c>
      <c r="P24" s="1060" cm="1">
        <f t="array" ref="P24">IF(Cdlac[[#This Row],[Quantity]]&gt;0,INDEX(TcacRents,$P$18,Cdlac[[#This Row],[Bedrooms]]+1)*Cdlac[[#This Row],[AMI]],"")</f>
        <v>1447</v>
      </c>
      <c r="Q24" s="1157"/>
      <c r="R24" s="1060" cm="1">
        <f t="array" ref="R24">IF(Cdlac[[#This Row],[Quantity]]&gt;0,INDEX(HudFmrs,$P$18,Cdlac[[#This Row],[Bedrooms]]+1),"")</f>
        <v>2206</v>
      </c>
      <c r="S24" s="1060">
        <f>IF(Cdlac[[#This Row],[Quantity]]&gt;0,MAX(0,Cdlac[[#This Row],[Fair Market Rent]]-IF(AND($G$37,$G$38,$G$38&lt;&gt;"",NOT(Cdlac[[#This Row],[Federal]]),Cdlac[[#This Row],[Preservation Rent]]&lt;&gt;""),Cdlac[[#This Row],[Preservation Rent]],Cdlac[[#This Row],[Restricted Rent]])),"")</f>
        <v>759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144</v>
      </c>
      <c r="F25" s="1067">
        <f>E25</f>
        <v>144</v>
      </c>
      <c r="G25" s="1067">
        <f>D25*F25</f>
        <v>144</v>
      </c>
      <c r="L25" s="1039">
        <f>IFERROR(MIN(4,MATCH(Application!B731,UnitSizes,0)-1),"")</f>
        <v>2</v>
      </c>
      <c r="M25" s="1060">
        <f>Application!G731</f>
        <v>51</v>
      </c>
      <c r="N25" s="1066">
        <f>Application!AC731</f>
        <v>0.6</v>
      </c>
      <c r="O25" s="1066">
        <f>IF(Cdlac[[#This Row],[Quantity]]&gt;0,IF(Cdlac[[#This Row],[Federal]],30%,IF(AND(OR(NOT($G$38),$G$38=""),$G$43),40%,Cdlac[[#This Row],[iAMI]])),"")</f>
        <v>0.6</v>
      </c>
      <c r="P25" s="1060" cm="1">
        <f t="array" ref="P25">IF(Cdlac[[#This Row],[Quantity]]&gt;0,INDEX(TcacRents,$P$18,Cdlac[[#This Row],[Bedrooms]]+1)*Cdlac[[#This Row],[AMI]],"")</f>
        <v>1736.3999999999999</v>
      </c>
      <c r="Q25" s="1157"/>
      <c r="R25" s="1060" cm="1">
        <f t="array" ref="R25">IF(Cdlac[[#This Row],[Quantity]]&gt;0,INDEX(HudFmrs,$P$18,Cdlac[[#This Row],[Bedrooms]]+1),"")</f>
        <v>2206</v>
      </c>
      <c r="S25" s="1060">
        <f>IF(Cdlac[[#This Row],[Quantity]]&gt;0,MAX(0,Cdlac[[#This Row],[Fair Market Rent]]-IF(AND($G$37,$G$38,$G$38&lt;&gt;"",NOT(Cdlac[[#This Row],[Federal]]),Cdlac[[#This Row],[Preservation Rent]]&lt;&gt;""),Cdlac[[#This Row],[Preservation Rent]],Cdlac[[#This Row],[Restricted Rent]])),"")</f>
        <v>469.60000000000014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76</v>
      </c>
      <c r="F26" s="1070">
        <f>SUM(E26:E28)-SUM(F27:F28)</f>
        <v>76</v>
      </c>
      <c r="G26" s="1067">
        <f>D26*F26</f>
        <v>95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2" t="s">
        <v>1575</v>
      </c>
      <c r="D29" s="2653"/>
      <c r="E29" s="1084">
        <f>SUM(E24:E28)</f>
        <v>220</v>
      </c>
      <c r="F29" s="1084">
        <f>SUM(F24:F28)</f>
        <v>220</v>
      </c>
      <c r="G29" s="1085">
        <f>SUMPRODUCT(D24:D28,F24:F28)</f>
        <v>239</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239</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11950000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5" t="str">
        <f>IF(AND(G37,G38,G38&lt;&gt;""),"Enter the average rent charged for each unit type over the last three years, as documented with rent rolls or property audits, in cells Q20:Q44","")</f>
        <v/>
      </c>
      <c r="D39" s="2655"/>
      <c r="E39" s="2655"/>
      <c r="F39" s="2655"/>
      <c r="G39" s="2655"/>
      <c r="H39" s="265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5"/>
      <c r="D40" s="2655"/>
      <c r="E40" s="2655"/>
      <c r="F40" s="2655"/>
      <c r="G40" s="2655"/>
      <c r="H40" s="265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5"/>
      <c r="D41" s="2655"/>
      <c r="E41" s="2655"/>
      <c r="F41" s="2655"/>
      <c r="G41" s="2655"/>
      <c r="H41" s="265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0.5586363636363636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107106.20000000001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19279116.000000004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23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110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23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460000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110</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c r="L83" s="2676" t="s">
        <v>1942</v>
      </c>
      <c r="M83" s="2677"/>
      <c r="N83" s="1125">
        <v>30000</v>
      </c>
    </row>
    <row r="84" spans="2:14" ht="15" customHeight="1">
      <c r="C84" s="1072" t="s">
        <v>1954</v>
      </c>
      <c r="G84" s="1076" t="str">
        <f>IF(Application!D211="Large Family","Yes","No")</f>
        <v>No</v>
      </c>
      <c r="L84" s="2680" t="s">
        <v>1910</v>
      </c>
      <c r="M84" s="2681"/>
      <c r="N84" s="1126">
        <v>20000</v>
      </c>
    </row>
    <row r="85" spans="2:14" ht="15" customHeight="1" thickBot="1">
      <c r="C85" s="1072" t="s">
        <v>1940</v>
      </c>
      <c r="G85" s="1038"/>
      <c r="L85" s="2682" t="s">
        <v>1943</v>
      </c>
      <c r="M85" s="2683"/>
      <c r="N85" s="1127">
        <v>10000</v>
      </c>
    </row>
    <row r="86" spans="2:14" ht="15" customHeight="1" thickBot="1">
      <c r="C86" s="1072" t="s">
        <v>1941</v>
      </c>
      <c r="G86" s="1039" t="str">
        <f>Application!T193</f>
        <v>Highest Resource</v>
      </c>
    </row>
    <row r="87" spans="2:14" ht="15" customHeight="1">
      <c r="C87" s="2658" t="s">
        <v>2208</v>
      </c>
      <c r="D87" s="2658"/>
      <c r="E87" s="2658"/>
      <c r="F87" s="2658"/>
      <c r="G87" s="1038"/>
      <c r="L87" s="1121" t="str">
        <f>'Points System'!H651</f>
        <v>(i)</v>
      </c>
      <c r="M87" s="2678" t="s">
        <v>1397</v>
      </c>
      <c r="N87" s="2679"/>
    </row>
    <row r="88" spans="2:14" ht="15" customHeight="1">
      <c r="C88" s="2658"/>
      <c r="D88" s="2658"/>
      <c r="E88" s="2658"/>
      <c r="F88" s="2658"/>
      <c r="L88" s="1122" t="str">
        <f>'Points System'!H663</f>
        <v>N/A</v>
      </c>
      <c r="M88" s="2672" t="s">
        <v>1929</v>
      </c>
      <c r="N88" s="2673"/>
    </row>
    <row r="89" spans="2:14" ht="15" customHeight="1">
      <c r="C89" s="1072"/>
      <c r="L89" s="1122" t="str">
        <f>'Points System'!H698</f>
        <v>(ii)</v>
      </c>
      <c r="M89" s="2672" t="s">
        <v>1930</v>
      </c>
      <c r="N89" s="2673"/>
    </row>
    <row r="90" spans="2:14" ht="15" customHeight="1">
      <c r="E90" s="1079" t="s">
        <v>1972</v>
      </c>
      <c r="G90" s="1074" t="b">
        <f>OR(AND(COUNTIFS(G84:G85,"Yes")&gt;=1,G83="Yes"),G87="Yes")</f>
        <v>0</v>
      </c>
      <c r="L90" s="1122" t="str">
        <f>IF(OR('Points System'!H722="(ii)",'Points System'!H722="(i)"),"(i)","N/A")</f>
        <v>N/A</v>
      </c>
      <c r="M90" s="2672" t="s">
        <v>1931</v>
      </c>
      <c r="N90" s="2673"/>
    </row>
    <row r="91" spans="2:14" ht="15" customHeight="1">
      <c r="E91" s="1079"/>
      <c r="G91" s="1074"/>
      <c r="L91" s="1123" t="str">
        <f>'Points System'!H736</f>
        <v>N/A</v>
      </c>
      <c r="M91" s="2672" t="s">
        <v>1423</v>
      </c>
      <c r="N91" s="2673"/>
    </row>
    <row r="92" spans="2:14" ht="15" customHeight="1">
      <c r="E92" s="1079" t="s">
        <v>1917</v>
      </c>
      <c r="G92" s="1073">
        <f>IFERROR(IF($G$87="Yes",30000,INDEX(N83:N85,MATCH(LEFT(G86,17),L83:L85,0))),0)</f>
        <v>30000</v>
      </c>
      <c r="L92" s="1122" t="str">
        <f>'Points System'!H748</f>
        <v>N/A</v>
      </c>
      <c r="M92" s="2672" t="s">
        <v>1932</v>
      </c>
      <c r="N92" s="2673"/>
    </row>
    <row r="93" spans="2:14" ht="15" customHeight="1">
      <c r="E93" s="1079" t="str">
        <f>E110</f>
        <v>Bedroom-Adjusted Low-Income Units</v>
      </c>
      <c r="F93" s="1107" t="s">
        <v>1965</v>
      </c>
      <c r="G93" s="1108">
        <f>G29</f>
        <v>239</v>
      </c>
      <c r="L93" s="1122" t="str">
        <f>'Points System'!H764</f>
        <v>N/A</v>
      </c>
      <c r="M93" s="2672" t="s">
        <v>1933</v>
      </c>
      <c r="N93" s="2673"/>
    </row>
    <row r="94" spans="2:14" ht="15" customHeight="1" thickBot="1">
      <c r="D94" s="1041"/>
      <c r="E94" s="1112" t="s">
        <v>2211</v>
      </c>
      <c r="F94" s="1041"/>
      <c r="G94" s="1117">
        <f>G93*G92*G90</f>
        <v>0</v>
      </c>
      <c r="L94" s="1124" t="str">
        <f>'Points System'!H776</f>
        <v>(ii)</v>
      </c>
      <c r="M94" s="2674" t="s">
        <v>1426</v>
      </c>
      <c r="N94" s="267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239</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4</v>
      </c>
    </row>
    <row r="109" spans="2:9" ht="15" customHeight="1">
      <c r="E109" s="1079" t="s">
        <v>1917</v>
      </c>
      <c r="F109" s="1107" t="s">
        <v>1965</v>
      </c>
      <c r="G109" s="1071">
        <v>4000</v>
      </c>
    </row>
    <row r="110" spans="2:9" ht="15" customHeight="1">
      <c r="E110" s="1079" t="s">
        <v>1969</v>
      </c>
      <c r="F110" s="1107" t="s">
        <v>1965</v>
      </c>
      <c r="G110" s="1120">
        <f>G29</f>
        <v>239</v>
      </c>
    </row>
    <row r="111" spans="2:9" ht="15" customHeight="1">
      <c r="E111" s="1112" t="s">
        <v>1934</v>
      </c>
      <c r="F111" s="1041"/>
      <c r="G111" s="1117">
        <f>G108*G109*G110</f>
        <v>3824000</v>
      </c>
    </row>
    <row r="112" spans="2:9" ht="15" customHeight="1">
      <c r="C112" s="1072"/>
      <c r="G112" s="1108"/>
    </row>
    <row r="113" spans="2:7" ht="15" customHeight="1">
      <c r="E113" s="1079" t="s">
        <v>1970</v>
      </c>
      <c r="G113" s="1108">
        <f>COUNTIFS(L87:L94,"(i)")</f>
        <v>1</v>
      </c>
    </row>
    <row r="114" spans="2:7" ht="15" customHeight="1">
      <c r="E114" s="1079" t="s">
        <v>1917</v>
      </c>
      <c r="F114" s="1107" t="s">
        <v>1965</v>
      </c>
      <c r="G114" s="1118">
        <v>4000</v>
      </c>
    </row>
    <row r="115" spans="2:7" ht="15" customHeight="1">
      <c r="E115" s="1112" t="s">
        <v>1935</v>
      </c>
      <c r="F115" s="1041"/>
      <c r="G115" s="1117">
        <f>G110*G113*G114</f>
        <v>956000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row>
    <row r="121" spans="2:7">
      <c r="C121" s="1072" t="s">
        <v>2095</v>
      </c>
      <c r="G121" s="1038"/>
    </row>
    <row r="123" spans="2:7">
      <c r="B123" s="1073"/>
      <c r="C123" s="1072"/>
      <c r="E123" s="1079" t="s">
        <v>1972</v>
      </c>
      <c r="G123" s="1074" t="b">
        <f>COUNTIFS(G118:G121,"Yes")&gt;=1</f>
        <v>0</v>
      </c>
    </row>
    <row r="124" spans="2:7">
      <c r="E124" s="1072"/>
    </row>
    <row r="125" spans="2:7" ht="15">
      <c r="E125" s="1079" t="s">
        <v>1969</v>
      </c>
      <c r="F125" s="1107" t="s">
        <v>1965</v>
      </c>
      <c r="G125" s="1108">
        <f>G29</f>
        <v>239</v>
      </c>
    </row>
    <row r="126" spans="2:7" ht="15">
      <c r="E126" s="1079" t="s">
        <v>1917</v>
      </c>
      <c r="F126" s="1107" t="s">
        <v>1965</v>
      </c>
      <c r="G126" s="1118">
        <v>25000</v>
      </c>
    </row>
    <row r="127" spans="2:7" ht="15">
      <c r="E127" s="1112" t="s">
        <v>1936</v>
      </c>
      <c r="F127" s="1041"/>
      <c r="G127" s="1117">
        <f>G123*G126*G110</f>
        <v>0</v>
      </c>
    </row>
    <row r="128" spans="2:7">
      <c r="C128" s="1072"/>
      <c r="E128" s="1072"/>
    </row>
    <row r="129" spans="2:9" ht="15">
      <c r="E129" s="1112" t="s">
        <v>2213</v>
      </c>
      <c r="G129" s="1117">
        <f>G127+G115+G111</f>
        <v>4780000</v>
      </c>
    </row>
    <row r="131" spans="2:9" ht="15">
      <c r="B131" s="1061" t="s">
        <v>139</v>
      </c>
      <c r="C131" s="1062"/>
      <c r="D131" s="1062"/>
      <c r="E131" s="1062"/>
      <c r="F131" s="1062"/>
      <c r="G131" s="1062"/>
      <c r="H131" s="1062"/>
      <c r="I131" s="1063"/>
    </row>
    <row r="133" spans="2:9">
      <c r="C133" s="2654" t="s">
        <v>2180</v>
      </c>
      <c r="D133" s="2654"/>
      <c r="E133" s="2654"/>
      <c r="F133" s="2654"/>
    </row>
    <row r="134" spans="2:9">
      <c r="C134" s="2654"/>
      <c r="D134" s="2654"/>
      <c r="E134" s="2654"/>
      <c r="F134" s="2654"/>
      <c r="G134" s="1038"/>
    </row>
    <row r="135" spans="2:9" ht="14.25" customHeight="1"/>
    <row r="136" spans="2:9">
      <c r="C136" s="1039" t="s">
        <v>2182</v>
      </c>
      <c r="G136" s="2656"/>
      <c r="H136" s="2656"/>
    </row>
    <row r="137" spans="2:9">
      <c r="G137" s="2656"/>
      <c r="H137" s="2656"/>
    </row>
    <row r="138" spans="2:9">
      <c r="G138" s="2657"/>
      <c r="H138" s="2657"/>
    </row>
    <row r="140" spans="2:9">
      <c r="C140" s="2654" t="s">
        <v>2587</v>
      </c>
      <c r="D140" s="2654"/>
      <c r="E140" s="2654"/>
      <c r="F140" s="2654"/>
    </row>
    <row r="141" spans="2:9">
      <c r="C141" s="2654"/>
      <c r="D141" s="2654"/>
      <c r="E141" s="2654"/>
      <c r="F141" s="2654"/>
      <c r="G141" s="1038"/>
    </row>
    <row r="142" spans="2:9">
      <c r="C142" s="2654"/>
      <c r="D142" s="2654"/>
      <c r="E142" s="2654"/>
      <c r="F142" s="2654"/>
    </row>
    <row r="144" spans="2:9">
      <c r="C144" s="2654" t="s">
        <v>2586</v>
      </c>
      <c r="D144" s="2654"/>
      <c r="E144" s="2654"/>
      <c r="F144" s="2654"/>
    </row>
    <row r="145" spans="2:9">
      <c r="C145" s="2654"/>
      <c r="D145" s="2654"/>
      <c r="E145" s="2654"/>
      <c r="F145" s="2654"/>
      <c r="G145" s="1038"/>
    </row>
    <row r="146" spans="2:9">
      <c r="C146" s="2654"/>
      <c r="D146" s="2654"/>
      <c r="E146" s="2654"/>
      <c r="F146" s="2654"/>
    </row>
    <row r="147" spans="2:9">
      <c r="C147" s="2654"/>
      <c r="D147" s="2654"/>
      <c r="E147" s="2654"/>
      <c r="F147" s="2654"/>
    </row>
    <row r="149" spans="2:9" ht="15">
      <c r="B149" s="1061" t="s">
        <v>1974</v>
      </c>
      <c r="C149" s="1062"/>
      <c r="D149" s="1062"/>
      <c r="E149" s="1062"/>
      <c r="F149" s="1062"/>
      <c r="G149" s="1062"/>
      <c r="H149" s="1062"/>
      <c r="I149" s="1063"/>
    </row>
    <row r="151" spans="2:9">
      <c r="E151" s="1079" t="s">
        <v>582</v>
      </c>
      <c r="G151" s="1039" t="str">
        <f>IF(Application!T189="","",Application!T189)</f>
        <v>Sacramento</v>
      </c>
    </row>
    <row r="152" spans="2:9">
      <c r="E152" s="1079"/>
      <c r="G152" s="1073"/>
    </row>
    <row r="153" spans="2:9">
      <c r="E153" s="1079" t="str">
        <f>"2-Bedroom "&amp;G151&amp;" County Basis Limit"</f>
        <v>2-Bedroom Sacramento County Basis Limit</v>
      </c>
      <c r="G153" s="1073">
        <f>Application!R997</f>
        <v>500800</v>
      </c>
    </row>
    <row r="154" spans="2:9">
      <c r="E154" s="1079" t="s">
        <v>1973</v>
      </c>
      <c r="G154" s="1073">
        <f>MEDIAN((Application!CU160:CU217))</f>
        <v>560000</v>
      </c>
    </row>
    <row r="155" spans="2:9" ht="15">
      <c r="D155" s="1041"/>
      <c r="E155" s="1112" t="s">
        <v>1975</v>
      </c>
      <c r="F155" s="1128"/>
      <c r="G155" s="1129">
        <f>((G153-G154)/G154)*0.25</f>
        <v>-2.642857142857143E-2</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1</v>
      </c>
    </row>
    <row r="160" spans="2:9">
      <c r="C160" s="2649" t="s">
        <v>2215</v>
      </c>
      <c r="D160" s="2649"/>
      <c r="E160" s="2649"/>
      <c r="F160" s="2649"/>
    </row>
    <row r="161" spans="2:7">
      <c r="B161" s="1040"/>
      <c r="C161" s="2649"/>
      <c r="D161" s="2649"/>
      <c r="E161" s="2649"/>
      <c r="F161" s="2649"/>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2534772.6937500001</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8"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4" t="s">
        <v>909</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15</v>
      </c>
      <c r="C4" s="1155"/>
      <c r="D4" s="428">
        <f>Application!O726</f>
        <v>648</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5</v>
      </c>
      <c r="C5" s="1155"/>
      <c r="D5" s="428">
        <f>Application!O727</f>
        <v>1131</v>
      </c>
      <c r="E5" s="429"/>
      <c r="F5" s="1078"/>
      <c r="G5" s="428">
        <f t="shared" ref="G5:G38" si="2">F5*B5</f>
        <v>0</v>
      </c>
      <c r="H5" s="429"/>
      <c r="I5" s="428" t="str">
        <f t="shared" si="0"/>
        <v/>
      </c>
      <c r="J5" s="428" t="str">
        <f t="shared" si="1"/>
        <v/>
      </c>
      <c r="K5" s="204"/>
      <c r="L5" s="305"/>
    </row>
    <row r="6" spans="1:12">
      <c r="A6" s="428" t="str">
        <f>Application!B728</f>
        <v>1 Bedroom</v>
      </c>
      <c r="B6" s="1077">
        <f>Application!G728</f>
        <v>124</v>
      </c>
      <c r="C6" s="1155"/>
      <c r="D6" s="428">
        <f>Application!O728</f>
        <v>1372</v>
      </c>
      <c r="E6" s="429"/>
      <c r="F6" s="1078"/>
      <c r="G6" s="428">
        <f t="shared" si="2"/>
        <v>0</v>
      </c>
      <c r="H6" s="429"/>
      <c r="I6" s="428" t="str">
        <f t="shared" si="0"/>
        <v/>
      </c>
      <c r="J6" s="428" t="str">
        <f t="shared" si="1"/>
        <v/>
      </c>
      <c r="K6" s="204"/>
      <c r="L6" s="305"/>
    </row>
    <row r="7" spans="1:12">
      <c r="A7" s="428" t="str">
        <f>Application!B729</f>
        <v>2 Bedrooms</v>
      </c>
      <c r="B7" s="1077">
        <f>Application!G729</f>
        <v>8</v>
      </c>
      <c r="C7" s="1155"/>
      <c r="D7" s="428">
        <f>Application!O729</f>
        <v>772</v>
      </c>
      <c r="E7" s="429"/>
      <c r="F7" s="1078"/>
      <c r="G7" s="428">
        <f t="shared" si="2"/>
        <v>0</v>
      </c>
      <c r="H7" s="429"/>
      <c r="I7" s="428" t="str">
        <f t="shared" si="0"/>
        <v/>
      </c>
      <c r="J7" s="428" t="str">
        <f t="shared" si="1"/>
        <v/>
      </c>
      <c r="K7" s="204"/>
      <c r="L7" s="305"/>
    </row>
    <row r="8" spans="1:12">
      <c r="A8" s="428" t="str">
        <f>Application!B730</f>
        <v>2 Bedrooms</v>
      </c>
      <c r="B8" s="1077">
        <f>Application!G730</f>
        <v>17</v>
      </c>
      <c r="C8" s="1155"/>
      <c r="D8" s="428">
        <f>Application!O730</f>
        <v>1351</v>
      </c>
      <c r="E8" s="429"/>
      <c r="F8" s="1078"/>
      <c r="G8" s="428">
        <f t="shared" si="2"/>
        <v>0</v>
      </c>
      <c r="H8" s="429"/>
      <c r="I8" s="428" t="str">
        <f t="shared" si="0"/>
        <v/>
      </c>
      <c r="J8" s="428" t="str">
        <f t="shared" si="1"/>
        <v/>
      </c>
      <c r="K8" s="204"/>
      <c r="L8" s="305"/>
    </row>
    <row r="9" spans="1:12">
      <c r="A9" s="428" t="str">
        <f>Application!B731</f>
        <v>2 Bedrooms</v>
      </c>
      <c r="B9" s="1077">
        <f>Application!G731</f>
        <v>51</v>
      </c>
      <c r="C9" s="1155"/>
      <c r="D9" s="428">
        <f>Application!O731</f>
        <v>1641</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298337</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5" t="s">
        <v>2425</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2205</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9" workbookViewId="0">
      <selection activeCell="S65" sqref="S65"/>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3619428</v>
      </c>
      <c r="G4" s="219">
        <f>E4*$C$4</f>
        <v>3709913.6999999997</v>
      </c>
      <c r="I4" s="219">
        <f>G4*$C$4</f>
        <v>3802661.5424999995</v>
      </c>
      <c r="K4" s="219">
        <f>I4*$C$4</f>
        <v>3897728.081062499</v>
      </c>
      <c r="M4" s="219">
        <f>K4*$C$4</f>
        <v>3995171.2830890613</v>
      </c>
      <c r="O4" s="219">
        <f>M4*$C$4</f>
        <v>4095050.5651662876</v>
      </c>
      <c r="Q4" s="219">
        <f>O4*$C$4</f>
        <v>4197426.8292954443</v>
      </c>
      <c r="S4" s="219">
        <f>Q4*$C$4</f>
        <v>4302362.5000278298</v>
      </c>
      <c r="U4" s="219">
        <f>S4*$C$4</f>
        <v>4409921.5625285255</v>
      </c>
      <c r="W4" s="219">
        <f>U4*$C$4</f>
        <v>4520169.6015917379</v>
      </c>
      <c r="Y4" s="219">
        <f>W4*$C$4</f>
        <v>4633173.8416315308</v>
      </c>
      <c r="AA4" s="219">
        <f>Y4*$C$4</f>
        <v>4749003.1876723189</v>
      </c>
      <c r="AC4" s="219">
        <f>AA4*$C$4</f>
        <v>4867728.2673641266</v>
      </c>
      <c r="AE4" s="219">
        <f>AC4*$C$4</f>
        <v>4989421.4740482289</v>
      </c>
      <c r="AG4" s="219">
        <f>AE4*$C$4</f>
        <v>5114157.0108994339</v>
      </c>
    </row>
    <row r="5" spans="1:34" s="210" customFormat="1" ht="14.25">
      <c r="B5" s="210" t="s">
        <v>838</v>
      </c>
      <c r="C5" s="238">
        <f>IF(Application!$D$211="Special Needs",(((0.1*Application!$T$212)+(0.05*(1-Application!$T$212)))),0.05)</f>
        <v>0.05</v>
      </c>
      <c r="E5" s="221">
        <f>-E4*$C$5</f>
        <v>-180971.40000000002</v>
      </c>
      <c r="F5" s="221"/>
      <c r="G5" s="221">
        <f>-G4*$C$5</f>
        <v>-185495.685</v>
      </c>
      <c r="H5" s="221"/>
      <c r="I5" s="221">
        <f>-I4*$C$5</f>
        <v>-190133.07712499998</v>
      </c>
      <c r="J5" s="221"/>
      <c r="K5" s="221">
        <f>-K4*$C$5</f>
        <v>-194886.40405312495</v>
      </c>
      <c r="L5" s="221"/>
      <c r="M5" s="221">
        <f>-M4*$C$5</f>
        <v>-199758.56415445308</v>
      </c>
      <c r="N5" s="221"/>
      <c r="O5" s="221">
        <f>-O4*$C$5</f>
        <v>-204752.52825831439</v>
      </c>
      <c r="P5" s="221"/>
      <c r="Q5" s="221">
        <f>-Q4*$C$5</f>
        <v>-209871.34146477224</v>
      </c>
      <c r="R5" s="221"/>
      <c r="S5" s="221">
        <f>-S4*$C$5</f>
        <v>-215118.12500139151</v>
      </c>
      <c r="T5" s="221"/>
      <c r="U5" s="221">
        <f>-U4*$C$5</f>
        <v>-220496.07812642629</v>
      </c>
      <c r="V5" s="221"/>
      <c r="W5" s="221">
        <f>-W4*$C$5</f>
        <v>-226008.48007958691</v>
      </c>
      <c r="X5" s="221"/>
      <c r="Y5" s="221">
        <f>-Y4*$C$5</f>
        <v>-231658.69208157656</v>
      </c>
      <c r="Z5" s="221"/>
      <c r="AA5" s="221">
        <f>-AA4*$C$5</f>
        <v>-237450.15938361594</v>
      </c>
      <c r="AB5" s="221"/>
      <c r="AC5" s="221">
        <f>-AC4*$C$5</f>
        <v>-243386.41336820635</v>
      </c>
      <c r="AD5" s="221"/>
      <c r="AE5" s="221">
        <f>-AE4*$C$5</f>
        <v>-249471.07370241146</v>
      </c>
      <c r="AF5" s="221"/>
      <c r="AG5" s="221">
        <f>-AG4*$C$5</f>
        <v>-255707.8505449717</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49968</v>
      </c>
      <c r="F8" s="222"/>
      <c r="G8" s="222">
        <f>E8*$C$8</f>
        <v>51217.2</v>
      </c>
      <c r="H8" s="222"/>
      <c r="I8" s="222">
        <f>G8*$C$8</f>
        <v>52497.62999999999</v>
      </c>
      <c r="J8" s="222"/>
      <c r="K8" s="222">
        <f>I8*$C$8</f>
        <v>53810.070749999984</v>
      </c>
      <c r="L8" s="222"/>
      <c r="M8" s="222">
        <f>K8*$C$8</f>
        <v>55155.322518749977</v>
      </c>
      <c r="N8" s="222"/>
      <c r="O8" s="222">
        <f>M8*$C$8</f>
        <v>56534.205581718721</v>
      </c>
      <c r="P8" s="222"/>
      <c r="Q8" s="222">
        <f>O8*$C$8</f>
        <v>57947.560721261681</v>
      </c>
      <c r="R8" s="222"/>
      <c r="S8" s="222">
        <f>Q8*$C$8</f>
        <v>59396.24973929322</v>
      </c>
      <c r="T8" s="222"/>
      <c r="U8" s="222">
        <f>S8*$C$8</f>
        <v>60881.155982775548</v>
      </c>
      <c r="V8" s="222"/>
      <c r="W8" s="222">
        <f>U8*$C$8</f>
        <v>62403.184882344933</v>
      </c>
      <c r="X8" s="222"/>
      <c r="Y8" s="222">
        <f>W8*$C$8</f>
        <v>63963.264504403553</v>
      </c>
      <c r="Z8" s="222"/>
      <c r="AA8" s="222">
        <f>Y8*$C$8</f>
        <v>65562.346117013629</v>
      </c>
      <c r="AB8" s="222"/>
      <c r="AC8" s="222">
        <f>AA8*$C$8</f>
        <v>67201.404769938963</v>
      </c>
      <c r="AD8" s="222"/>
      <c r="AE8" s="222">
        <f>AC8*$C$8</f>
        <v>68881.43988918743</v>
      </c>
      <c r="AF8" s="222"/>
      <c r="AG8" s="222">
        <f>AE8*$C$8</f>
        <v>70603.475886417116</v>
      </c>
    </row>
    <row r="9" spans="1:34" s="210" customFormat="1" ht="14.25">
      <c r="B9" s="210" t="s">
        <v>838</v>
      </c>
      <c r="C9" s="238">
        <f>IF(Application!$D$211="Special Needs",(((0.1*Application!$T$212)+(0.05*(1-Application!$T$212)))),0.05)</f>
        <v>0.05</v>
      </c>
      <c r="E9" s="221">
        <f>-E8*$C$9</f>
        <v>-2498.4</v>
      </c>
      <c r="F9" s="221"/>
      <c r="G9" s="221">
        <f>-G8*$C$9</f>
        <v>-2560.86</v>
      </c>
      <c r="H9" s="221"/>
      <c r="I9" s="221">
        <f>-I8*$C$9</f>
        <v>-2624.8814999999995</v>
      </c>
      <c r="J9" s="221"/>
      <c r="K9" s="221">
        <f>-K8*$C$9</f>
        <v>-2690.5035374999993</v>
      </c>
      <c r="L9" s="221"/>
      <c r="M9" s="221">
        <f>-M8*$C$9</f>
        <v>-2757.7661259374991</v>
      </c>
      <c r="N9" s="221"/>
      <c r="O9" s="221">
        <f>-O8*$C$9</f>
        <v>-2826.7102790859362</v>
      </c>
      <c r="P9" s="221"/>
      <c r="Q9" s="221">
        <f>-Q8*$C$9</f>
        <v>-2897.3780360630844</v>
      </c>
      <c r="R9" s="221"/>
      <c r="S9" s="221">
        <f>-S8*$C$9</f>
        <v>-2969.8124869646613</v>
      </c>
      <c r="T9" s="221"/>
      <c r="U9" s="221">
        <f>-U8*$C$9</f>
        <v>-3044.0577991387777</v>
      </c>
      <c r="V9" s="221"/>
      <c r="W9" s="221">
        <f>-W8*$C$9</f>
        <v>-3120.159244117247</v>
      </c>
      <c r="X9" s="221"/>
      <c r="Y9" s="221">
        <f>-Y8*$C$9</f>
        <v>-3198.163225220178</v>
      </c>
      <c r="Z9" s="221"/>
      <c r="AA9" s="221">
        <f>-AA8*$C$9</f>
        <v>-3278.1173058506815</v>
      </c>
      <c r="AB9" s="221"/>
      <c r="AC9" s="221">
        <f>-AC8*$C$9</f>
        <v>-3360.0702384969481</v>
      </c>
      <c r="AD9" s="221"/>
      <c r="AE9" s="221">
        <f>-AE8*$C$9</f>
        <v>-3444.0719944593716</v>
      </c>
      <c r="AF9" s="221"/>
      <c r="AG9" s="221">
        <f>-AG8*$C$9</f>
        <v>-3530.1737943208559</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3485926.2</v>
      </c>
      <c r="G11" s="223">
        <f>SUM(G4:G10)</f>
        <v>3573074.355</v>
      </c>
      <c r="I11" s="223">
        <f>SUM(I4:I10)</f>
        <v>3662401.2138749994</v>
      </c>
      <c r="K11" s="223">
        <f>SUM(K4:K10)</f>
        <v>3753961.244221874</v>
      </c>
      <c r="M11" s="223">
        <f>SUM(M4:M10)</f>
        <v>3847810.2753274208</v>
      </c>
      <c r="O11" s="223">
        <f>SUM(O4:O10)</f>
        <v>3944005.5322106057</v>
      </c>
      <c r="Q11" s="223">
        <f>SUM(Q4:Q10)</f>
        <v>4042605.6705158707</v>
      </c>
      <c r="S11" s="223">
        <f>SUM(S4:S10)</f>
        <v>4143670.8122787667</v>
      </c>
      <c r="U11" s="223">
        <f>SUM(U4:U10)</f>
        <v>4247262.5825857352</v>
      </c>
      <c r="W11" s="223">
        <f>SUM(W4:W10)</f>
        <v>4353444.1471503787</v>
      </c>
      <c r="Y11" s="223">
        <f>SUM(Y4:Y10)</f>
        <v>4462280.2508291379</v>
      </c>
      <c r="AA11" s="223">
        <f>SUM(AA4:AA10)</f>
        <v>4573837.2570998669</v>
      </c>
      <c r="AC11" s="223">
        <f>SUM(AC4:AC10)</f>
        <v>4688183.1885273624</v>
      </c>
      <c r="AE11" s="223">
        <f>SUM(AE4:AE10)</f>
        <v>4805387.7682405449</v>
      </c>
      <c r="AG11" s="223">
        <f>SUM(AG4:AG10)</f>
        <v>4925522.4624465592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78300</v>
      </c>
      <c r="G15" s="219">
        <f>E15*$C$14</f>
        <v>81040.5</v>
      </c>
      <c r="I15" s="219">
        <f>G15*$C$14</f>
        <v>83876.917499999996</v>
      </c>
      <c r="K15" s="219">
        <f>I15*$C$14</f>
        <v>86812.609612499989</v>
      </c>
      <c r="M15" s="219">
        <f>K15*$C$14</f>
        <v>89851.050948937482</v>
      </c>
      <c r="O15" s="219">
        <f>M15*$C$14</f>
        <v>92995.837732150292</v>
      </c>
      <c r="Q15" s="219">
        <f>O15*$C$14</f>
        <v>96250.692052775543</v>
      </c>
      <c r="S15" s="219">
        <f>Q15*$C$14</f>
        <v>99619.466274622682</v>
      </c>
      <c r="U15" s="219">
        <f>S15*$C$14</f>
        <v>103106.14759423447</v>
      </c>
      <c r="W15" s="219">
        <f>U15*$C$14</f>
        <v>106714.86276003267</v>
      </c>
      <c r="Y15" s="219">
        <f>W15*$C$14</f>
        <v>110449.88295663381</v>
      </c>
      <c r="AA15" s="219">
        <f>Y15*$C$14</f>
        <v>114315.62886011599</v>
      </c>
      <c r="AC15" s="219">
        <f>AA15*$C$14</f>
        <v>118316.67587022005</v>
      </c>
      <c r="AE15" s="219">
        <f>AC15*$C$14</f>
        <v>122457.75952567774</v>
      </c>
      <c r="AG15" s="219">
        <f>AE15*$C$14</f>
        <v>126743.78110907646</v>
      </c>
    </row>
    <row r="16" spans="1:34" s="210" customFormat="1" ht="14.25">
      <c r="A16" s="210" t="s">
        <v>344</v>
      </c>
      <c r="C16" s="233"/>
      <c r="E16" s="222">
        <f>Application!W857</f>
        <v>104578</v>
      </c>
      <c r="F16" s="222"/>
      <c r="G16" s="222">
        <f t="shared" ref="G16:AG21" si="0">E16*$C$14</f>
        <v>108238.23</v>
      </c>
      <c r="H16" s="222"/>
      <c r="I16" s="222">
        <f t="shared" si="0"/>
        <v>112026.56804999999</v>
      </c>
      <c r="J16" s="222"/>
      <c r="K16" s="222">
        <f t="shared" si="0"/>
        <v>115947.49793174998</v>
      </c>
      <c r="L16" s="222"/>
      <c r="M16" s="222">
        <f t="shared" si="0"/>
        <v>120005.66035936122</v>
      </c>
      <c r="N16" s="222"/>
      <c r="O16" s="222">
        <f t="shared" si="0"/>
        <v>124205.85847193886</v>
      </c>
      <c r="P16" s="222"/>
      <c r="Q16" s="222">
        <f t="shared" si="0"/>
        <v>128553.06351845671</v>
      </c>
      <c r="R16" s="222"/>
      <c r="S16" s="222">
        <f t="shared" si="0"/>
        <v>133052.42074160269</v>
      </c>
      <c r="T16" s="222"/>
      <c r="U16" s="222">
        <f t="shared" si="0"/>
        <v>137709.25546755877</v>
      </c>
      <c r="V16" s="222"/>
      <c r="W16" s="222">
        <f t="shared" si="0"/>
        <v>142529.07940892331</v>
      </c>
      <c r="X16" s="222"/>
      <c r="Y16" s="222">
        <f t="shared" si="0"/>
        <v>147517.59718823561</v>
      </c>
      <c r="Z16" s="222"/>
      <c r="AA16" s="222">
        <f t="shared" si="0"/>
        <v>152680.71308982384</v>
      </c>
      <c r="AB16" s="222"/>
      <c r="AC16" s="222">
        <f t="shared" si="0"/>
        <v>158024.53804796765</v>
      </c>
      <c r="AD16" s="222"/>
      <c r="AE16" s="222">
        <f t="shared" si="0"/>
        <v>163555.39687964652</v>
      </c>
      <c r="AF16" s="222"/>
      <c r="AG16" s="222">
        <f t="shared" si="0"/>
        <v>169279.83577043415</v>
      </c>
    </row>
    <row r="17" spans="1:33" s="210" customFormat="1" ht="14.25">
      <c r="A17" s="210" t="s">
        <v>561</v>
      </c>
      <c r="C17" s="233"/>
      <c r="E17" s="222">
        <f>Application!W863</f>
        <v>261750</v>
      </c>
      <c r="F17" s="222"/>
      <c r="G17" s="222">
        <f t="shared" si="0"/>
        <v>270911.25</v>
      </c>
      <c r="H17" s="222"/>
      <c r="I17" s="222">
        <f t="shared" si="0"/>
        <v>280393.14374999999</v>
      </c>
      <c r="J17" s="222"/>
      <c r="K17" s="222">
        <f t="shared" si="0"/>
        <v>290206.90378124994</v>
      </c>
      <c r="L17" s="222"/>
      <c r="M17" s="222">
        <f t="shared" si="0"/>
        <v>300364.14541359368</v>
      </c>
      <c r="N17" s="222"/>
      <c r="O17" s="222">
        <f t="shared" si="0"/>
        <v>310876.89050306944</v>
      </c>
      <c r="P17" s="222"/>
      <c r="Q17" s="222">
        <f t="shared" si="0"/>
        <v>321757.58167067682</v>
      </c>
      <c r="R17" s="222"/>
      <c r="S17" s="222">
        <f t="shared" si="0"/>
        <v>333019.09702915046</v>
      </c>
      <c r="T17" s="222"/>
      <c r="U17" s="222">
        <f t="shared" si="0"/>
        <v>344674.76542517071</v>
      </c>
      <c r="V17" s="222"/>
      <c r="W17" s="222">
        <f t="shared" si="0"/>
        <v>356738.38221505168</v>
      </c>
      <c r="X17" s="222"/>
      <c r="Y17" s="222">
        <f t="shared" si="0"/>
        <v>369224.22559257847</v>
      </c>
      <c r="Z17" s="222"/>
      <c r="AA17" s="222">
        <f t="shared" si="0"/>
        <v>382147.07348831871</v>
      </c>
      <c r="AB17" s="222"/>
      <c r="AC17" s="222">
        <f t="shared" si="0"/>
        <v>395522.22106040985</v>
      </c>
      <c r="AD17" s="222"/>
      <c r="AE17" s="222">
        <f t="shared" si="0"/>
        <v>409365.49879752414</v>
      </c>
      <c r="AF17" s="222"/>
      <c r="AG17" s="222">
        <f t="shared" si="0"/>
        <v>423693.29125543748</v>
      </c>
    </row>
    <row r="18" spans="1:33" s="210" customFormat="1" ht="14.25">
      <c r="A18" s="210" t="s">
        <v>842</v>
      </c>
      <c r="C18" s="233"/>
      <c r="E18" s="222">
        <f>Application!W870</f>
        <v>483141</v>
      </c>
      <c r="F18" s="222"/>
      <c r="G18" s="222">
        <f t="shared" si="0"/>
        <v>500050.93499999994</v>
      </c>
      <c r="H18" s="222"/>
      <c r="I18" s="222">
        <f t="shared" si="0"/>
        <v>517552.71772499988</v>
      </c>
      <c r="J18" s="222"/>
      <c r="K18" s="222">
        <f t="shared" si="0"/>
        <v>535667.06284537481</v>
      </c>
      <c r="L18" s="222"/>
      <c r="M18" s="222">
        <f t="shared" si="0"/>
        <v>554415.41004496289</v>
      </c>
      <c r="N18" s="222"/>
      <c r="O18" s="222">
        <f t="shared" si="0"/>
        <v>573819.94939653657</v>
      </c>
      <c r="P18" s="222"/>
      <c r="Q18" s="222">
        <f t="shared" si="0"/>
        <v>593903.64762541535</v>
      </c>
      <c r="R18" s="222"/>
      <c r="S18" s="222">
        <f t="shared" si="0"/>
        <v>614690.27529230481</v>
      </c>
      <c r="T18" s="222"/>
      <c r="U18" s="222">
        <f t="shared" si="0"/>
        <v>636204.43492753548</v>
      </c>
      <c r="V18" s="222"/>
      <c r="W18" s="222">
        <f t="shared" si="0"/>
        <v>658471.59014999913</v>
      </c>
      <c r="X18" s="222"/>
      <c r="Y18" s="222">
        <f t="shared" si="0"/>
        <v>681518.09580524906</v>
      </c>
      <c r="Z18" s="222"/>
      <c r="AA18" s="222">
        <f t="shared" si="0"/>
        <v>705371.22915843269</v>
      </c>
      <c r="AB18" s="222"/>
      <c r="AC18" s="222">
        <f t="shared" si="0"/>
        <v>730059.2221789778</v>
      </c>
      <c r="AD18" s="222"/>
      <c r="AE18" s="222">
        <f t="shared" si="0"/>
        <v>755611.29495524196</v>
      </c>
      <c r="AF18" s="222"/>
      <c r="AG18" s="222">
        <f t="shared" si="0"/>
        <v>782057.69027867541</v>
      </c>
    </row>
    <row r="19" spans="1:33" s="210" customFormat="1" ht="14.25">
      <c r="A19" s="210" t="s">
        <v>155</v>
      </c>
      <c r="C19" s="233"/>
      <c r="E19" s="222">
        <f>Application!W872</f>
        <v>0</v>
      </c>
      <c r="F19" s="222"/>
      <c r="G19" s="222">
        <f t="shared" si="0"/>
        <v>0</v>
      </c>
      <c r="H19" s="222"/>
      <c r="I19" s="222">
        <f t="shared" si="0"/>
        <v>0</v>
      </c>
      <c r="J19" s="222"/>
      <c r="K19" s="222">
        <f t="shared" si="0"/>
        <v>0</v>
      </c>
      <c r="L19" s="222"/>
      <c r="M19" s="222">
        <f t="shared" si="0"/>
        <v>0</v>
      </c>
      <c r="N19" s="222"/>
      <c r="O19" s="222">
        <f t="shared" si="0"/>
        <v>0</v>
      </c>
      <c r="P19" s="222"/>
      <c r="Q19" s="222">
        <f t="shared" si="0"/>
        <v>0</v>
      </c>
      <c r="R19" s="222"/>
      <c r="S19" s="222">
        <f t="shared" si="0"/>
        <v>0</v>
      </c>
      <c r="T19" s="222"/>
      <c r="U19" s="222">
        <f t="shared" si="0"/>
        <v>0</v>
      </c>
      <c r="V19" s="222"/>
      <c r="W19" s="222">
        <f t="shared" si="0"/>
        <v>0</v>
      </c>
      <c r="X19" s="222"/>
      <c r="Y19" s="222">
        <f t="shared" si="0"/>
        <v>0</v>
      </c>
      <c r="Z19" s="222"/>
      <c r="AA19" s="222">
        <f t="shared" si="0"/>
        <v>0</v>
      </c>
      <c r="AB19" s="222"/>
      <c r="AC19" s="222">
        <f t="shared" si="0"/>
        <v>0</v>
      </c>
      <c r="AD19" s="222"/>
      <c r="AE19" s="222">
        <f t="shared" si="0"/>
        <v>0</v>
      </c>
      <c r="AF19" s="222"/>
      <c r="AG19" s="222">
        <f t="shared" si="0"/>
        <v>0</v>
      </c>
    </row>
    <row r="20" spans="1:33" s="210" customFormat="1" ht="14.25">
      <c r="A20" s="210" t="s">
        <v>390</v>
      </c>
      <c r="C20" s="233"/>
      <c r="E20" s="222">
        <f>Application!W881</f>
        <v>149000</v>
      </c>
      <c r="F20" s="222"/>
      <c r="G20" s="222">
        <f t="shared" si="0"/>
        <v>154215</v>
      </c>
      <c r="H20" s="222"/>
      <c r="I20" s="222">
        <f t="shared" si="0"/>
        <v>159612.52499999999</v>
      </c>
      <c r="J20" s="222"/>
      <c r="K20" s="222">
        <f t="shared" si="0"/>
        <v>165198.96337499999</v>
      </c>
      <c r="L20" s="222"/>
      <c r="M20" s="222">
        <f t="shared" si="0"/>
        <v>170980.92709312498</v>
      </c>
      <c r="N20" s="222"/>
      <c r="O20" s="222">
        <f t="shared" si="0"/>
        <v>176965.25954138435</v>
      </c>
      <c r="P20" s="222"/>
      <c r="Q20" s="222">
        <f t="shared" si="0"/>
        <v>183159.04362533279</v>
      </c>
      <c r="R20" s="222"/>
      <c r="S20" s="222">
        <f t="shared" si="0"/>
        <v>189569.61015221942</v>
      </c>
      <c r="T20" s="222"/>
      <c r="U20" s="222">
        <f t="shared" si="0"/>
        <v>196204.54650754709</v>
      </c>
      <c r="V20" s="222"/>
      <c r="W20" s="222">
        <f t="shared" si="0"/>
        <v>203071.70563531123</v>
      </c>
      <c r="X20" s="222"/>
      <c r="Y20" s="222">
        <f t="shared" si="0"/>
        <v>210179.21533254712</v>
      </c>
      <c r="Z20" s="222"/>
      <c r="AA20" s="222">
        <f t="shared" si="0"/>
        <v>217535.48786918624</v>
      </c>
      <c r="AB20" s="222"/>
      <c r="AC20" s="222">
        <f t="shared" si="0"/>
        <v>225149.22994460774</v>
      </c>
      <c r="AD20" s="222"/>
      <c r="AE20" s="222">
        <f t="shared" si="0"/>
        <v>233029.45299266899</v>
      </c>
      <c r="AF20" s="222"/>
      <c r="AG20" s="222">
        <f t="shared" si="0"/>
        <v>241185.48384741237</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1076769</v>
      </c>
      <c r="G22" s="223">
        <f>SUM(G15:G21)</f>
        <v>1114455.915</v>
      </c>
      <c r="I22" s="223">
        <f>SUM(I15:I21)</f>
        <v>1153461.8720249997</v>
      </c>
      <c r="K22" s="223">
        <f>SUM(K15:K21)</f>
        <v>1193833.0375458747</v>
      </c>
      <c r="M22" s="223">
        <f>SUM(M15:M21)</f>
        <v>1235617.1938599802</v>
      </c>
      <c r="O22" s="223">
        <f>SUM(O15:O21)</f>
        <v>1278863.7956450796</v>
      </c>
      <c r="Q22" s="223">
        <f>SUM(Q15:Q21)</f>
        <v>1323624.0284926572</v>
      </c>
      <c r="S22" s="223">
        <f>SUM(S15:S21)</f>
        <v>1369950.8694899001</v>
      </c>
      <c r="U22" s="223">
        <f>SUM(U15:U21)</f>
        <v>1417899.1499220466</v>
      </c>
      <c r="W22" s="223">
        <f>SUM(W15:W21)</f>
        <v>1467525.620169318</v>
      </c>
      <c r="Y22" s="223">
        <f>SUM(Y15:Y21)</f>
        <v>1518889.0168752442</v>
      </c>
      <c r="AA22" s="223">
        <f>SUM(AA15:AA21)</f>
        <v>1572050.1324658776</v>
      </c>
      <c r="AC22" s="223">
        <f>SUM(AC15:AC21)</f>
        <v>1627071.887102183</v>
      </c>
      <c r="AE22" s="223">
        <f>SUM(AE15:AE21)</f>
        <v>1684019.4031507594</v>
      </c>
      <c r="AG22" s="223">
        <f>SUM(AG15:AG21)</f>
        <v>1742960.0822610357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28260</v>
      </c>
      <c r="F27" s="222"/>
      <c r="G27" s="222">
        <f>E27*$C$27</f>
        <v>29249.1</v>
      </c>
      <c r="H27" s="222"/>
      <c r="I27" s="222">
        <f>G27*$C$27</f>
        <v>30272.818499999998</v>
      </c>
      <c r="J27" s="222"/>
      <c r="K27" s="222">
        <f>I27*$C$27</f>
        <v>31332.367147499994</v>
      </c>
      <c r="L27" s="222"/>
      <c r="M27" s="222">
        <f>K27*$C$27</f>
        <v>32428.999997662489</v>
      </c>
      <c r="N27" s="222"/>
      <c r="O27" s="222">
        <f>M27*$C$27</f>
        <v>33564.014997580671</v>
      </c>
      <c r="P27" s="222"/>
      <c r="Q27" s="222">
        <f>O27*$C$27</f>
        <v>34738.755522495994</v>
      </c>
      <c r="R27" s="222"/>
      <c r="S27" s="222">
        <f>Q27*$C$27</f>
        <v>35954.611965783348</v>
      </c>
      <c r="T27" s="222"/>
      <c r="U27" s="222">
        <f>S27*$C$27</f>
        <v>37213.023384585766</v>
      </c>
      <c r="V27" s="222"/>
      <c r="W27" s="222">
        <f>U27*$C$27</f>
        <v>38515.479203046263</v>
      </c>
      <c r="X27" s="222"/>
      <c r="Y27" s="222">
        <f>W27*$C$27</f>
        <v>39863.520975152882</v>
      </c>
      <c r="Z27" s="222"/>
      <c r="AA27" s="222">
        <f>Y27*$C$27</f>
        <v>41258.744209283228</v>
      </c>
      <c r="AB27" s="222"/>
      <c r="AC27" s="222">
        <f>AA27*$C$27</f>
        <v>42702.800256608134</v>
      </c>
      <c r="AD27" s="222"/>
      <c r="AE27" s="222">
        <f>AC27*$C$27</f>
        <v>44197.398265589414</v>
      </c>
      <c r="AF27" s="222"/>
      <c r="AG27" s="222">
        <f>AE27*$C$27</f>
        <v>45744.307204885037</v>
      </c>
    </row>
    <row r="28" spans="1:33" s="210" customFormat="1" ht="14.25">
      <c r="A28" s="210" t="s">
        <v>846</v>
      </c>
      <c r="C28" s="237"/>
      <c r="E28" s="222">
        <f>Application!AC898</f>
        <v>66600</v>
      </c>
      <c r="F28" s="222"/>
      <c r="G28" s="222">
        <f>$E$28</f>
        <v>66600</v>
      </c>
      <c r="H28" s="222"/>
      <c r="I28" s="222">
        <f>$E$28</f>
        <v>66600</v>
      </c>
      <c r="J28" s="222"/>
      <c r="K28" s="222">
        <f>$E$28</f>
        <v>66600</v>
      </c>
      <c r="L28" s="222"/>
      <c r="M28" s="222">
        <f>$E$28</f>
        <v>66600</v>
      </c>
      <c r="N28" s="222"/>
      <c r="O28" s="222">
        <f>$E$28</f>
        <v>66600</v>
      </c>
      <c r="P28" s="222"/>
      <c r="Q28" s="222">
        <f>$E$28</f>
        <v>66600</v>
      </c>
      <c r="R28" s="222"/>
      <c r="S28" s="222">
        <f>$E$28</f>
        <v>66600</v>
      </c>
      <c r="T28" s="222"/>
      <c r="U28" s="222">
        <f>$E$28</f>
        <v>66600</v>
      </c>
      <c r="V28" s="222"/>
      <c r="W28" s="222">
        <f>$E$28</f>
        <v>66600</v>
      </c>
      <c r="X28" s="222"/>
      <c r="Y28" s="222">
        <f>$E$28</f>
        <v>66600</v>
      </c>
      <c r="Z28" s="222"/>
      <c r="AA28" s="222">
        <f>$E$28</f>
        <v>66600</v>
      </c>
      <c r="AB28" s="222"/>
      <c r="AC28" s="222">
        <f>$E$28</f>
        <v>66600</v>
      </c>
      <c r="AD28" s="222"/>
      <c r="AE28" s="222">
        <f>$E$28</f>
        <v>66600</v>
      </c>
      <c r="AF28" s="222"/>
      <c r="AG28" s="222">
        <f>$E$28</f>
        <v>66600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250000</v>
      </c>
      <c r="F30" s="222"/>
      <c r="G30" s="222">
        <f>E30*$C$30</f>
        <v>255000</v>
      </c>
      <c r="H30" s="222"/>
      <c r="I30" s="222">
        <f>G30*$C$30</f>
        <v>260100</v>
      </c>
      <c r="J30" s="222"/>
      <c r="K30" s="222">
        <f>I30*$C$30</f>
        <v>265302</v>
      </c>
      <c r="L30" s="222"/>
      <c r="M30" s="222">
        <f>K30*$C$30</f>
        <v>270608.03999999998</v>
      </c>
      <c r="N30" s="222"/>
      <c r="O30" s="222">
        <f>M30*$C$30</f>
        <v>276020.20079999999</v>
      </c>
      <c r="P30" s="222"/>
      <c r="Q30" s="222">
        <f>O30*$C$30</f>
        <v>281540.60481599998</v>
      </c>
      <c r="R30" s="222"/>
      <c r="S30" s="222">
        <f>Q30*$C$30</f>
        <v>287171.41691231995</v>
      </c>
      <c r="T30" s="222"/>
      <c r="U30" s="222">
        <f>S30*$C$30</f>
        <v>292914.84525056637</v>
      </c>
      <c r="V30" s="222"/>
      <c r="W30" s="222">
        <f>U30*$C$30</f>
        <v>298773.14215557772</v>
      </c>
      <c r="X30" s="222"/>
      <c r="Y30" s="222">
        <f>W30*$C$30</f>
        <v>304748.60499868926</v>
      </c>
      <c r="Z30" s="222"/>
      <c r="AA30" s="222">
        <f>Y30*$C$30</f>
        <v>310843.57709866302</v>
      </c>
      <c r="AB30" s="222"/>
      <c r="AC30" s="222">
        <f>AA30*$C$30</f>
        <v>317060.44864063628</v>
      </c>
      <c r="AD30" s="222"/>
      <c r="AE30" s="222">
        <f>AC30*$C$30</f>
        <v>323401.65761344903</v>
      </c>
      <c r="AF30" s="222"/>
      <c r="AG30" s="222">
        <f>AE30*$C$30</f>
        <v>329869.690765718</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1421629</v>
      </c>
      <c r="G35" s="223">
        <f>SUM(G22:G33)</f>
        <v>1465305.0150000001</v>
      </c>
      <c r="I35" s="223">
        <f>SUM(I22:I33)</f>
        <v>1510434.6905249998</v>
      </c>
      <c r="K35" s="223">
        <f>SUM(K22:K33)</f>
        <v>1557067.4046933746</v>
      </c>
      <c r="M35" s="223">
        <f>SUM(M22:M33)</f>
        <v>1605254.2338576426</v>
      </c>
      <c r="O35" s="223">
        <f>SUM(O22:O33)</f>
        <v>1655048.0114426601</v>
      </c>
      <c r="Q35" s="223">
        <f>SUM(Q22:Q33)</f>
        <v>1706503.3888311533</v>
      </c>
      <c r="S35" s="223">
        <f>SUM(S22:S33)</f>
        <v>1759676.8983680033</v>
      </c>
      <c r="U35" s="223">
        <f>SUM(U22:U33)</f>
        <v>1814627.0185571988</v>
      </c>
      <c r="W35" s="223">
        <f>SUM(W22:W33)</f>
        <v>1871414.241527942</v>
      </c>
      <c r="Y35" s="223">
        <f>SUM(Y22:Y33)</f>
        <v>1930101.1428490863</v>
      </c>
      <c r="AA35" s="223">
        <f>SUM(AA22:AA33)</f>
        <v>1990752.4537738238</v>
      </c>
      <c r="AC35" s="223">
        <f>SUM(AC22:AC33)</f>
        <v>2053435.1359994272</v>
      </c>
      <c r="AE35" s="223">
        <f>SUM(AE22:AE33)</f>
        <v>2118218.4590297979</v>
      </c>
      <c r="AG35" s="223">
        <f>SUM(AG22:AG33)</f>
        <v>2185174.0802316386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2064297.2000000002</v>
      </c>
      <c r="G37" s="223">
        <f>G11-G35</f>
        <v>2107769.34</v>
      </c>
      <c r="I37" s="223">
        <f>I11-I35</f>
        <v>2151966.5233499995</v>
      </c>
      <c r="K37" s="223">
        <f>K11-K35</f>
        <v>2196893.8395284992</v>
      </c>
      <c r="M37" s="223">
        <f>M11-M35</f>
        <v>2242556.0414697779</v>
      </c>
      <c r="O37" s="223">
        <f>O11-O35</f>
        <v>2288957.5207679458</v>
      </c>
      <c r="Q37" s="223">
        <f>Q11-Q35</f>
        <v>2336102.2816847172</v>
      </c>
      <c r="S37" s="223">
        <f>S11-S35</f>
        <v>2383993.9139107633</v>
      </c>
      <c r="U37" s="223">
        <f>U11-U35</f>
        <v>2432635.5640285364</v>
      </c>
      <c r="W37" s="223">
        <f>W11-W35</f>
        <v>2482029.9056224367</v>
      </c>
      <c r="Y37" s="223">
        <f>Y11-Y35</f>
        <v>2532179.1079800515</v>
      </c>
      <c r="AA37" s="223">
        <f>AA11-AA35</f>
        <v>2583084.8033260433</v>
      </c>
      <c r="AC37" s="223">
        <f>AC11-AC35</f>
        <v>2634748.0525279352</v>
      </c>
      <c r="AE37" s="223">
        <f>AE11-AE35</f>
        <v>2687169.309210747</v>
      </c>
      <c r="AG37" s="223">
        <f>AG11-AG35</f>
        <v>2740348.3822149206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Citibank, N.A.</v>
      </c>
      <c r="B40" s="226"/>
      <c r="C40" s="220"/>
      <c r="E40" s="222">
        <f>Application!AF635</f>
        <v>1795237</v>
      </c>
      <c r="F40" s="222"/>
      <c r="G40" s="222">
        <f>$E$40</f>
        <v>1795237</v>
      </c>
      <c r="H40" s="222"/>
      <c r="I40" s="222">
        <f>$E$40</f>
        <v>1795237</v>
      </c>
      <c r="J40" s="222"/>
      <c r="K40" s="222">
        <f>$E$40</f>
        <v>1795237</v>
      </c>
      <c r="L40" s="222"/>
      <c r="M40" s="222">
        <f>$E$40</f>
        <v>1795237</v>
      </c>
      <c r="N40" s="222"/>
      <c r="O40" s="222">
        <f>$E$40</f>
        <v>1795237</v>
      </c>
      <c r="P40" s="222"/>
      <c r="Q40" s="222">
        <f>$E$40</f>
        <v>1795237</v>
      </c>
      <c r="R40" s="222"/>
      <c r="S40" s="222">
        <f>$E$40</f>
        <v>1795237</v>
      </c>
      <c r="T40" s="222"/>
      <c r="U40" s="222">
        <f>$E$40</f>
        <v>1795237</v>
      </c>
      <c r="V40" s="222"/>
      <c r="W40" s="222">
        <f>$E$40</f>
        <v>1795237</v>
      </c>
      <c r="X40" s="222"/>
      <c r="Y40" s="222">
        <f>$E$40</f>
        <v>1795237</v>
      </c>
      <c r="Z40" s="222"/>
      <c r="AA40" s="222">
        <f>$E$40</f>
        <v>1795237</v>
      </c>
      <c r="AB40" s="222"/>
      <c r="AC40" s="222">
        <f>$E$40</f>
        <v>1795237</v>
      </c>
      <c r="AD40" s="222"/>
      <c r="AE40" s="222">
        <f>$E$40</f>
        <v>1795237</v>
      </c>
      <c r="AF40" s="222"/>
      <c r="AG40" s="222">
        <f>$E$40</f>
        <v>1795237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1795237</v>
      </c>
      <c r="G43" s="223">
        <f>SUM(G40:G42)</f>
        <v>1795237</v>
      </c>
      <c r="I43" s="223">
        <f>SUM(I40:I42)</f>
        <v>1795237</v>
      </c>
      <c r="K43" s="223">
        <f>SUM(K40:K42)</f>
        <v>1795237</v>
      </c>
      <c r="M43" s="223">
        <f>SUM(M40:M42)</f>
        <v>1795237</v>
      </c>
      <c r="O43" s="223">
        <f>SUM(O40:O42)</f>
        <v>1795237</v>
      </c>
      <c r="Q43" s="223">
        <f>SUM(Q40:Q42)</f>
        <v>1795237</v>
      </c>
      <c r="S43" s="223">
        <f>SUM(S40:S42)</f>
        <v>1795237</v>
      </c>
      <c r="U43" s="223">
        <f>SUM(U40:U42)</f>
        <v>1795237</v>
      </c>
      <c r="W43" s="223">
        <f>SUM(W40:W42)</f>
        <v>1795237</v>
      </c>
      <c r="Y43" s="223">
        <f>SUM(Y40:Y42)</f>
        <v>1795237</v>
      </c>
      <c r="AA43" s="223">
        <f>SUM(AA40:AA42)</f>
        <v>1795237</v>
      </c>
      <c r="AC43" s="223">
        <f>SUM(AC40:AC42)</f>
        <v>1795237</v>
      </c>
      <c r="AE43" s="223">
        <f>SUM(AE40:AE42)</f>
        <v>1795237</v>
      </c>
      <c r="AG43" s="223">
        <f>SUM(AG40:AG42)</f>
        <v>1795237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269060.20000000019</v>
      </c>
      <c r="G45" s="223">
        <f>G37-G43</f>
        <v>312532.33999999985</v>
      </c>
      <c r="I45" s="223">
        <f>I37-I43</f>
        <v>356729.52334999945</v>
      </c>
      <c r="K45" s="223">
        <f>K37-K43</f>
        <v>401656.83952849917</v>
      </c>
      <c r="M45" s="223">
        <f>M37-M43</f>
        <v>447319.04146977793</v>
      </c>
      <c r="O45" s="223">
        <f>O37-O43</f>
        <v>493720.5207679458</v>
      </c>
      <c r="Q45" s="223">
        <f>Q37-Q43</f>
        <v>540865.28168471716</v>
      </c>
      <c r="S45" s="223">
        <f>S37-S43</f>
        <v>588756.91391076334</v>
      </c>
      <c r="U45" s="223">
        <f>U37-U43</f>
        <v>637398.56402853644</v>
      </c>
      <c r="W45" s="223">
        <f>W37-W43</f>
        <v>686792.90562243666</v>
      </c>
      <c r="Y45" s="223">
        <f>Y37-Y43</f>
        <v>736942.10798005154</v>
      </c>
      <c r="AA45" s="223">
        <f>AA37-AA43</f>
        <v>787847.8033260433</v>
      </c>
      <c r="AC45" s="223">
        <f>AC37-AC43</f>
        <v>839511.05252793524</v>
      </c>
      <c r="AE45" s="223">
        <f>AE37-AE43</f>
        <v>891932.30921074701</v>
      </c>
      <c r="AG45" s="223">
        <f>AG37-AG43</f>
        <v>945111.3822149206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7.3325473729191445E-2</v>
      </c>
      <c r="G47" s="227">
        <f>G45/(G4+G6+G8)</f>
        <v>8.3095310508868453E-2</v>
      </c>
      <c r="I47" s="227">
        <f>I45/(I4+I6+I8)</f>
        <v>9.2533020658305778E-2</v>
      </c>
      <c r="K47" s="227">
        <f>K45/(K4+K6+K8)</f>
        <v>0.10164569443528375</v>
      </c>
      <c r="M47" s="227">
        <f>M45/(M4+M6+M8)</f>
        <v>0.11044023976991137</v>
      </c>
      <c r="O47" s="227">
        <f>O45/(O4+O6+O8)</f>
        <v>0.11892338661773016</v>
      </c>
      <c r="Q47" s="227">
        <f>Q45/(Q4+Q6+Q8)</f>
        <v>0.12710169120573991</v>
      </c>
      <c r="S47" s="227">
        <f>S45/(S4+S6+S8)</f>
        <v>0.13498154017394876</v>
      </c>
      <c r="U47" s="227">
        <f>U45/(U4+U6+U8)</f>
        <v>0.14256915461498579</v>
      </c>
      <c r="W47" s="227">
        <f>W45/(W4+W6+W8)</f>
        <v>0.14987059401425634</v>
      </c>
      <c r="Y47" s="227">
        <f>Y45/(Y4+Y6+Y8)</f>
        <v>0.156891760093052</v>
      </c>
      <c r="AA47" s="227">
        <f>AA45/(AA4+AA6+AA8)</f>
        <v>0.16363840055697879</v>
      </c>
      <c r="AC47" s="227">
        <f>AC45/(AC4+AC6+AC8)</f>
        <v>0.17011611275199717</v>
      </c>
      <c r="AE47" s="227">
        <f>AE45/(AE4+AE6+AE8)</f>
        <v>0.17633034723032454</v>
      </c>
      <c r="AG47" s="227">
        <f>AG45/(AG4+AG6+AG8)</f>
        <v>0.18228641122838371</v>
      </c>
    </row>
    <row r="48" spans="1:33" s="227" customFormat="1" ht="14.25">
      <c r="A48" s="227" t="s">
        <v>852</v>
      </c>
      <c r="C48" s="220"/>
      <c r="E48" s="227">
        <f>E45/E43</f>
        <v>0.14987447339821994</v>
      </c>
      <c r="G48" s="227">
        <f>G45/G43</f>
        <v>0.17408973856933643</v>
      </c>
      <c r="I48" s="227">
        <f>I45/I43</f>
        <v>0.19870887428790709</v>
      </c>
      <c r="K48" s="227">
        <f>K45/K43</f>
        <v>0.2237347155436854</v>
      </c>
      <c r="M48" s="227">
        <f>M45/M43</f>
        <v>0.24916990986135978</v>
      </c>
      <c r="O48" s="227">
        <f>O45/O43</f>
        <v>0.27501690348847857</v>
      </c>
      <c r="Q48" s="227">
        <f>Q45/Q43</f>
        <v>0.30127792691701272</v>
      </c>
      <c r="S48" s="227">
        <f>S45/S43</f>
        <v>0.32795497971062504</v>
      </c>
      <c r="U48" s="227">
        <f>U45/U43</f>
        <v>0.35504981460862073</v>
      </c>
      <c r="W48" s="227">
        <f>W45/W43</f>
        <v>0.38256392087642838</v>
      </c>
      <c r="Y48" s="227">
        <f>Y45/Y43</f>
        <v>0.41049850687126632</v>
      </c>
      <c r="AA48" s="227">
        <f>AA45/AA43</f>
        <v>0.43885448179045067</v>
      </c>
      <c r="AC48" s="227">
        <f>AC45/AC43</f>
        <v>0.46763243656850612</v>
      </c>
      <c r="AE48" s="227">
        <f>AE45/AE43</f>
        <v>0.49683262388795851</v>
      </c>
      <c r="AG48" s="227">
        <f>AG45/AG43</f>
        <v>0.52645493726729153</v>
      </c>
    </row>
    <row r="49" spans="1:34" s="228" customFormat="1" ht="14.25">
      <c r="A49" s="228" t="s">
        <v>850</v>
      </c>
      <c r="C49" s="229"/>
      <c r="E49" s="228">
        <f>E37/E43</f>
        <v>1.14987447339822</v>
      </c>
      <c r="G49" s="228">
        <f>G37/G43</f>
        <v>1.1740897385693365</v>
      </c>
      <c r="I49" s="228">
        <f>I37/I43</f>
        <v>1.1987088742879071</v>
      </c>
      <c r="K49" s="228">
        <f>K37/K43</f>
        <v>1.2237347155436855</v>
      </c>
      <c r="M49" s="228">
        <f>M37/M43</f>
        <v>1.2491699098613598</v>
      </c>
      <c r="O49" s="228">
        <f>O37/O43</f>
        <v>1.2750169034884786</v>
      </c>
      <c r="Q49" s="228">
        <f>Q37/Q43</f>
        <v>1.3012779269170127</v>
      </c>
      <c r="S49" s="228">
        <f>S37/S43</f>
        <v>1.3279549797106249</v>
      </c>
      <c r="U49" s="228">
        <f>U37/U43</f>
        <v>1.3550498146086207</v>
      </c>
      <c r="W49" s="228">
        <f>W37/W43</f>
        <v>1.3825639208764284</v>
      </c>
      <c r="Y49" s="228">
        <f>Y37/Y43</f>
        <v>1.4104985068712663</v>
      </c>
      <c r="AA49" s="228">
        <f>AA37/AA43</f>
        <v>1.4388544817904507</v>
      </c>
      <c r="AC49" s="228">
        <f>AC37/AC43</f>
        <v>1.4676324365685061</v>
      </c>
      <c r="AE49" s="228">
        <f>AE37/AE43</f>
        <v>1.4968326238879586</v>
      </c>
      <c r="AG49" s="228">
        <f>AG37/AG43</f>
        <v>1.5264549372672915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8" t="s">
        <v>2777</v>
      </c>
      <c r="B52" s="2688"/>
      <c r="C52" s="2688"/>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v>10000</v>
      </c>
      <c r="G53" s="956">
        <f>E53*1.03</f>
        <v>10300</v>
      </c>
      <c r="I53" s="956">
        <f t="shared" ref="I53:I54" si="1">G53*1.03</f>
        <v>10609</v>
      </c>
      <c r="K53" s="956">
        <f t="shared" ref="K53:K54" si="2">I53*1.03</f>
        <v>10927.27</v>
      </c>
      <c r="M53" s="956">
        <f t="shared" ref="M53:M54" si="3">K53*1.03</f>
        <v>11255.088100000001</v>
      </c>
      <c r="O53" s="956">
        <f t="shared" ref="O53:O54" si="4">M53*1.03</f>
        <v>11592.740743</v>
      </c>
      <c r="Q53" s="956">
        <f t="shared" ref="Q53:Q54" si="5">O53*1.03</f>
        <v>11940.52296529</v>
      </c>
      <c r="S53" s="956">
        <f t="shared" ref="S53:S54" si="6">Q53*1.03</f>
        <v>12298.7386542487</v>
      </c>
      <c r="U53" s="956">
        <f t="shared" ref="U53:U54" si="7">S53*1.03</f>
        <v>12667.700813876161</v>
      </c>
      <c r="W53" s="956">
        <f t="shared" ref="W53:W54" si="8">U53*1.03</f>
        <v>13047.731838292446</v>
      </c>
      <c r="Y53" s="956">
        <f t="shared" ref="Y53:Y54" si="9">W53*1.03</f>
        <v>13439.163793441219</v>
      </c>
      <c r="AA53" s="956">
        <f t="shared" ref="AA53:AA54" si="10">Y53*1.03</f>
        <v>13842.338707244457</v>
      </c>
      <c r="AC53" s="956">
        <f t="shared" ref="AC53:AC54" si="11">AA53*1.03</f>
        <v>14257.60886846179</v>
      </c>
      <c r="AE53" s="956">
        <f t="shared" ref="AE53:AE54" si="12">AC53*1.03</f>
        <v>14685.337134515645</v>
      </c>
      <c r="AG53" s="956">
        <f t="shared" ref="AG53:AG54" si="13">AE53*1.03</f>
        <v>15125.897248551115</v>
      </c>
    </row>
    <row r="54" spans="1:34" s="3" customFormat="1">
      <c r="A54" s="3" t="s">
        <v>855</v>
      </c>
      <c r="C54" s="954"/>
      <c r="E54" s="961">
        <v>5000</v>
      </c>
      <c r="F54" s="956"/>
      <c r="G54" s="956">
        <f>E54*1.03</f>
        <v>5150</v>
      </c>
      <c r="H54" s="956"/>
      <c r="I54" s="956">
        <f t="shared" si="1"/>
        <v>5304.5</v>
      </c>
      <c r="J54" s="956"/>
      <c r="K54" s="956">
        <f t="shared" si="2"/>
        <v>5463.6350000000002</v>
      </c>
      <c r="L54" s="956"/>
      <c r="M54" s="956">
        <f t="shared" si="3"/>
        <v>5627.5440500000004</v>
      </c>
      <c r="N54" s="956"/>
      <c r="O54" s="956">
        <f t="shared" si="4"/>
        <v>5796.3703715000001</v>
      </c>
      <c r="P54" s="956"/>
      <c r="Q54" s="956">
        <f t="shared" si="5"/>
        <v>5970.2614826449999</v>
      </c>
      <c r="R54" s="956"/>
      <c r="S54" s="956">
        <f t="shared" si="6"/>
        <v>6149.3693271243501</v>
      </c>
      <c r="T54" s="956"/>
      <c r="U54" s="956">
        <f t="shared" si="7"/>
        <v>6333.8504069380806</v>
      </c>
      <c r="V54" s="956"/>
      <c r="W54" s="956">
        <f t="shared" si="8"/>
        <v>6523.865919146223</v>
      </c>
      <c r="X54" s="956"/>
      <c r="Y54" s="956">
        <f t="shared" si="9"/>
        <v>6719.5818967206096</v>
      </c>
      <c r="Z54" s="956"/>
      <c r="AA54" s="956">
        <f t="shared" si="10"/>
        <v>6921.1693536222283</v>
      </c>
      <c r="AB54" s="956"/>
      <c r="AC54" s="956">
        <f t="shared" si="11"/>
        <v>7128.8044342308949</v>
      </c>
      <c r="AD54" s="956"/>
      <c r="AE54" s="956">
        <f t="shared" si="12"/>
        <v>7342.6685672578224</v>
      </c>
      <c r="AF54" s="956"/>
      <c r="AG54" s="956">
        <f t="shared" si="13"/>
        <v>7562.9486242755574</v>
      </c>
      <c r="AH54" s="956"/>
    </row>
    <row r="55" spans="1:34" s="3" customFormat="1">
      <c r="A55" s="3" t="s">
        <v>856</v>
      </c>
      <c r="C55" s="954"/>
      <c r="E55" s="961"/>
      <c r="F55" s="956"/>
      <c r="G55" s="956">
        <f t="shared" ref="G55:AG57" si="14">E55*$C$53</f>
        <v>0</v>
      </c>
      <c r="H55" s="956"/>
      <c r="I55" s="956">
        <f t="shared" si="14"/>
        <v>0</v>
      </c>
      <c r="J55" s="956"/>
      <c r="K55" s="956">
        <f t="shared" si="14"/>
        <v>0</v>
      </c>
      <c r="L55" s="956"/>
      <c r="M55" s="956">
        <f t="shared" si="14"/>
        <v>0</v>
      </c>
      <c r="N55" s="956"/>
      <c r="O55" s="956">
        <f t="shared" si="14"/>
        <v>0</v>
      </c>
      <c r="P55" s="956"/>
      <c r="Q55" s="956">
        <f t="shared" si="14"/>
        <v>0</v>
      </c>
      <c r="R55" s="956"/>
      <c r="S55" s="956">
        <f t="shared" si="14"/>
        <v>0</v>
      </c>
      <c r="T55" s="956"/>
      <c r="U55" s="956">
        <f t="shared" si="14"/>
        <v>0</v>
      </c>
      <c r="V55" s="956"/>
      <c r="W55" s="956">
        <f t="shared" si="14"/>
        <v>0</v>
      </c>
      <c r="X55" s="956"/>
      <c r="Y55" s="956">
        <f t="shared" si="14"/>
        <v>0</v>
      </c>
      <c r="Z55" s="956"/>
      <c r="AA55" s="956">
        <f t="shared" si="14"/>
        <v>0</v>
      </c>
      <c r="AB55" s="956"/>
      <c r="AC55" s="956">
        <f t="shared" si="14"/>
        <v>0</v>
      </c>
      <c r="AD55" s="956"/>
      <c r="AE55" s="956">
        <f t="shared" si="14"/>
        <v>0</v>
      </c>
      <c r="AF55" s="956"/>
      <c r="AG55" s="956">
        <f t="shared" si="14"/>
        <v>0</v>
      </c>
      <c r="AH55" s="956"/>
    </row>
    <row r="56" spans="1:34" s="3" customFormat="1">
      <c r="A56" s="962"/>
      <c r="B56" s="962"/>
      <c r="C56" s="954"/>
      <c r="E56" s="961"/>
      <c r="F56" s="956"/>
      <c r="G56" s="956">
        <f t="shared" si="14"/>
        <v>0</v>
      </c>
      <c r="H56" s="956"/>
      <c r="I56" s="956">
        <f t="shared" si="14"/>
        <v>0</v>
      </c>
      <c r="J56" s="956"/>
      <c r="K56" s="956">
        <f t="shared" si="14"/>
        <v>0</v>
      </c>
      <c r="L56" s="956"/>
      <c r="M56" s="956">
        <f t="shared" si="14"/>
        <v>0</v>
      </c>
      <c r="N56" s="956"/>
      <c r="O56" s="956">
        <f t="shared" si="14"/>
        <v>0</v>
      </c>
      <c r="P56" s="956"/>
      <c r="Q56" s="956">
        <f t="shared" si="14"/>
        <v>0</v>
      </c>
      <c r="R56" s="956"/>
      <c r="S56" s="956">
        <f t="shared" si="14"/>
        <v>0</v>
      </c>
      <c r="T56" s="956"/>
      <c r="U56" s="956">
        <f t="shared" si="14"/>
        <v>0</v>
      </c>
      <c r="V56" s="956"/>
      <c r="W56" s="956">
        <f t="shared" si="14"/>
        <v>0</v>
      </c>
      <c r="X56" s="956"/>
      <c r="Y56" s="956">
        <f t="shared" si="14"/>
        <v>0</v>
      </c>
      <c r="Z56" s="956"/>
      <c r="AA56" s="956">
        <f t="shared" si="14"/>
        <v>0</v>
      </c>
      <c r="AB56" s="956"/>
      <c r="AC56" s="956">
        <f t="shared" si="14"/>
        <v>0</v>
      </c>
      <c r="AD56" s="956"/>
      <c r="AE56" s="956">
        <f t="shared" si="14"/>
        <v>0</v>
      </c>
      <c r="AF56" s="956"/>
      <c r="AG56" s="956">
        <f t="shared" si="14"/>
        <v>0</v>
      </c>
      <c r="AH56" s="956"/>
    </row>
    <row r="57" spans="1:34" s="3" customFormat="1">
      <c r="A57" s="962"/>
      <c r="B57" s="962"/>
      <c r="C57" s="954"/>
      <c r="E57" s="963"/>
      <c r="F57" s="956"/>
      <c r="G57" s="964">
        <f t="shared" si="14"/>
        <v>0</v>
      </c>
      <c r="H57" s="956"/>
      <c r="I57" s="964">
        <f t="shared" si="14"/>
        <v>0</v>
      </c>
      <c r="J57" s="956"/>
      <c r="K57" s="964">
        <f t="shared" si="14"/>
        <v>0</v>
      </c>
      <c r="L57" s="956"/>
      <c r="M57" s="964">
        <f t="shared" si="14"/>
        <v>0</v>
      </c>
      <c r="N57" s="956"/>
      <c r="O57" s="964">
        <f t="shared" si="14"/>
        <v>0</v>
      </c>
      <c r="P57" s="956"/>
      <c r="Q57" s="964">
        <f t="shared" si="14"/>
        <v>0</v>
      </c>
      <c r="R57" s="956"/>
      <c r="S57" s="964">
        <f t="shared" si="14"/>
        <v>0</v>
      </c>
      <c r="T57" s="956"/>
      <c r="U57" s="964">
        <f t="shared" si="14"/>
        <v>0</v>
      </c>
      <c r="V57" s="956"/>
      <c r="W57" s="964">
        <f t="shared" si="14"/>
        <v>0</v>
      </c>
      <c r="X57" s="956"/>
      <c r="Y57" s="964">
        <f t="shared" si="14"/>
        <v>0</v>
      </c>
      <c r="Z57" s="956"/>
      <c r="AA57" s="964">
        <f t="shared" si="14"/>
        <v>0</v>
      </c>
      <c r="AB57" s="956"/>
      <c r="AC57" s="964">
        <f t="shared" si="14"/>
        <v>0</v>
      </c>
      <c r="AD57" s="956"/>
      <c r="AE57" s="964">
        <f t="shared" si="14"/>
        <v>0</v>
      </c>
      <c r="AF57" s="956"/>
      <c r="AG57" s="964">
        <f t="shared" si="14"/>
        <v>0</v>
      </c>
      <c r="AH57" s="956"/>
    </row>
    <row r="58" spans="1:34" s="3" customFormat="1">
      <c r="A58" s="958" t="s">
        <v>853</v>
      </c>
      <c r="C58" s="957"/>
      <c r="E58" s="956">
        <f>SUM(E53:E57)</f>
        <v>15000</v>
      </c>
      <c r="F58" s="956"/>
      <c r="G58" s="956">
        <f>SUM(G53:G57)</f>
        <v>15450</v>
      </c>
      <c r="H58" s="956"/>
      <c r="I58" s="956">
        <f>SUM(I53:I57)</f>
        <v>15913.5</v>
      </c>
      <c r="J58" s="956"/>
      <c r="K58" s="956">
        <f>SUM(K53:K57)</f>
        <v>16390.904999999999</v>
      </c>
      <c r="L58" s="956"/>
      <c r="M58" s="956">
        <f>SUM(M53:M57)</f>
        <v>16882.632150000001</v>
      </c>
      <c r="N58" s="956"/>
      <c r="O58" s="956">
        <f>SUM(O53:O57)</f>
        <v>17389.1111145</v>
      </c>
      <c r="P58" s="956"/>
      <c r="Q58" s="956">
        <f>SUM(Q53:Q57)</f>
        <v>17910.784447934999</v>
      </c>
      <c r="R58" s="956"/>
      <c r="S58" s="956">
        <f>SUM(S53:S57)</f>
        <v>18448.10798137305</v>
      </c>
      <c r="T58" s="956"/>
      <c r="U58" s="956">
        <f>SUM(U53:U57)</f>
        <v>19001.551220814243</v>
      </c>
      <c r="V58" s="956"/>
      <c r="W58" s="956">
        <f>SUM(W53:W57)</f>
        <v>19571.597757438671</v>
      </c>
      <c r="X58" s="956"/>
      <c r="Y58" s="956">
        <f>SUM(Y53:Y57)</f>
        <v>20158.745690161828</v>
      </c>
      <c r="Z58" s="956"/>
      <c r="AA58" s="956">
        <f>SUM(AA53:AA57)</f>
        <v>20763.508060866683</v>
      </c>
      <c r="AB58" s="956"/>
      <c r="AC58" s="956">
        <f>SUM(AC53:AC57)</f>
        <v>21386.413302692687</v>
      </c>
      <c r="AD58" s="956"/>
      <c r="AE58" s="956">
        <f>SUM(AE53:AE57)</f>
        <v>22028.005701773465</v>
      </c>
      <c r="AF58" s="956"/>
      <c r="AG58" s="956">
        <f>SUM(AG53:AG57)</f>
        <v>22688.845872826671</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254060.20000000019</v>
      </c>
      <c r="G60" s="958">
        <f>G45-G58</f>
        <v>297082.33999999985</v>
      </c>
      <c r="I60" s="958">
        <f>I45-I58</f>
        <v>340816.02334999945</v>
      </c>
      <c r="K60" s="958">
        <f>K45-K58</f>
        <v>385265.93452849914</v>
      </c>
      <c r="M60" s="958">
        <f>M45-M58</f>
        <v>430436.40931977791</v>
      </c>
      <c r="O60" s="958">
        <f>O45-O58</f>
        <v>476331.40965344582</v>
      </c>
      <c r="Q60" s="958">
        <f>Q45-Q58</f>
        <v>522954.49723678216</v>
      </c>
      <c r="S60" s="958">
        <f>S45-S58</f>
        <v>570308.80592939025</v>
      </c>
      <c r="U60" s="958">
        <f>U45-U58</f>
        <v>618397.0128077222</v>
      </c>
      <c r="W60" s="958">
        <f>W45-W58</f>
        <v>667221.307864998</v>
      </c>
      <c r="Y60" s="958">
        <f>Y45-Y58</f>
        <v>716783.36228988972</v>
      </c>
      <c r="AA60" s="958">
        <f>AA45-AA58</f>
        <v>767084.29526517657</v>
      </c>
      <c r="AC60" s="958">
        <f>AC45-AC58</f>
        <v>818124.63922524254</v>
      </c>
      <c r="AE60" s="958">
        <f>AE45-AE58</f>
        <v>869904.30350897356</v>
      </c>
      <c r="AG60" s="958">
        <f>AG45-AG58</f>
        <v>922422.53634209395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254060.20000000019</v>
      </c>
      <c r="G62" s="958">
        <f>G60*$C$62</f>
        <v>297082.33999999985</v>
      </c>
      <c r="I62" s="958">
        <f>I60*$C$62</f>
        <v>340816.02334999945</v>
      </c>
      <c r="K62" s="958">
        <f>K60*$C$62</f>
        <v>385265.93452849914</v>
      </c>
      <c r="M62" s="958">
        <f>M60*$C$62</f>
        <v>430436.40931977791</v>
      </c>
      <c r="O62" s="958">
        <f>O60*$C$62</f>
        <v>476331.40965344582</v>
      </c>
      <c r="Q62" s="958">
        <f>Q60*$C$62</f>
        <v>522954.49723678216</v>
      </c>
      <c r="S62" s="958">
        <f>S60*$C$62</f>
        <v>570308.80592939025</v>
      </c>
      <c r="U62" s="958">
        <v>233454</v>
      </c>
      <c r="W62" s="958">
        <v>0</v>
      </c>
      <c r="Y62" s="958">
        <v>0</v>
      </c>
      <c r="AA62" s="958">
        <v>0</v>
      </c>
      <c r="AC62" s="958">
        <v>0</v>
      </c>
      <c r="AE62" s="958">
        <v>0</v>
      </c>
      <c r="AG62" s="958">
        <v>0</v>
      </c>
    </row>
    <row r="63" spans="1:34" s="958" customFormat="1">
      <c r="A63" s="2688" t="s">
        <v>2777</v>
      </c>
      <c r="B63" s="2688"/>
      <c r="C63" s="2688"/>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2760</v>
      </c>
      <c r="B66" s="960"/>
      <c r="C66" s="959"/>
      <c r="E66" s="960">
        <v>0</v>
      </c>
      <c r="G66" s="956">
        <v>0</v>
      </c>
      <c r="I66" s="956">
        <v>0</v>
      </c>
      <c r="K66" s="956">
        <v>0</v>
      </c>
      <c r="M66" s="956">
        <v>0</v>
      </c>
      <c r="O66" s="956">
        <v>0</v>
      </c>
      <c r="Q66" s="956"/>
      <c r="S66" s="956">
        <v>0</v>
      </c>
      <c r="U66" s="956">
        <f>(U60-U62)*0.5</f>
        <v>192471.5064038611</v>
      </c>
      <c r="W66" s="956">
        <f t="shared" ref="W66" si="15">(W60-W62)*0.5</f>
        <v>333610.653932499</v>
      </c>
      <c r="Y66" s="956">
        <f t="shared" ref="Y66" si="16">(Y60-Y62)*0.5</f>
        <v>358391.68114494486</v>
      </c>
      <c r="AA66" s="956">
        <f t="shared" ref="AA66" si="17">(AA60-AA62)*0.5</f>
        <v>383542.14763258828</v>
      </c>
      <c r="AC66" s="956">
        <f t="shared" ref="AC66" si="18">(AC60-AC62)*0.5</f>
        <v>409062.31961262127</v>
      </c>
      <c r="AE66" s="956">
        <f t="shared" ref="AE66" si="19">(AE60-AE62)*0.5</f>
        <v>434952.15175448678</v>
      </c>
      <c r="AG66" s="956">
        <f t="shared" ref="AG66" si="20">(AG60-AG62)*0.5</f>
        <v>461211.26817104698</v>
      </c>
    </row>
    <row r="67" spans="1:34" s="956" customFormat="1">
      <c r="A67" s="961" t="s">
        <v>2788</v>
      </c>
      <c r="B67" s="961"/>
      <c r="C67" s="966"/>
      <c r="E67" s="960">
        <v>0</v>
      </c>
      <c r="G67" s="956">
        <v>0</v>
      </c>
      <c r="I67" s="956">
        <v>0</v>
      </c>
      <c r="K67" s="956">
        <v>0</v>
      </c>
      <c r="M67" s="956">
        <v>0</v>
      </c>
      <c r="O67" s="956">
        <v>0</v>
      </c>
      <c r="Q67" s="956">
        <v>0</v>
      </c>
      <c r="S67" s="956">
        <v>0</v>
      </c>
      <c r="U67" s="956">
        <f>(U60-U62)*0.5</f>
        <v>192471.5064038611</v>
      </c>
      <c r="W67" s="956">
        <f t="shared" ref="W67" si="21">(W60-W62)*0.5</f>
        <v>333610.653932499</v>
      </c>
      <c r="Y67" s="956">
        <f t="shared" ref="Y67" si="22">(Y60-Y62)*0.5</f>
        <v>358391.68114494486</v>
      </c>
      <c r="AA67" s="956">
        <f t="shared" ref="AA67" si="23">(AA60-AA62)*0.5</f>
        <v>383542.14763258828</v>
      </c>
      <c r="AC67" s="956">
        <f t="shared" ref="AC67" si="24">(AC60-AC62)*0.5</f>
        <v>409062.31961262127</v>
      </c>
      <c r="AE67" s="956">
        <f t="shared" ref="AE67" si="25">(AE60-AE62)*0.5</f>
        <v>434952.15175448678</v>
      </c>
      <c r="AG67" s="956">
        <f t="shared" ref="AG67" si="26">(AG60-AG62)*0.5</f>
        <v>461211.26817104698</v>
      </c>
    </row>
    <row r="68" spans="1:34" s="956" customFormat="1">
      <c r="A68" s="961"/>
      <c r="B68" s="961"/>
      <c r="C68" s="966"/>
      <c r="E68" s="961"/>
      <c r="G68" s="956">
        <f t="shared" ref="G68:AG69" si="27">E68*$C$66</f>
        <v>0</v>
      </c>
      <c r="I68" s="956">
        <f t="shared" si="27"/>
        <v>0</v>
      </c>
      <c r="K68" s="956">
        <f t="shared" si="27"/>
        <v>0</v>
      </c>
      <c r="M68" s="956">
        <f t="shared" si="27"/>
        <v>0</v>
      </c>
      <c r="O68" s="956">
        <f t="shared" si="27"/>
        <v>0</v>
      </c>
      <c r="Q68" s="956">
        <f t="shared" si="27"/>
        <v>0</v>
      </c>
      <c r="S68" s="956">
        <f t="shared" si="27"/>
        <v>0</v>
      </c>
      <c r="U68" s="956">
        <f t="shared" si="27"/>
        <v>0</v>
      </c>
      <c r="W68" s="956">
        <f t="shared" si="27"/>
        <v>0</v>
      </c>
      <c r="Y68" s="956">
        <f t="shared" si="27"/>
        <v>0</v>
      </c>
      <c r="AA68" s="956">
        <f t="shared" si="27"/>
        <v>0</v>
      </c>
      <c r="AC68" s="956">
        <f t="shared" si="27"/>
        <v>0</v>
      </c>
      <c r="AE68" s="956">
        <f t="shared" si="27"/>
        <v>0</v>
      </c>
      <c r="AG68" s="956">
        <f t="shared" si="27"/>
        <v>0</v>
      </c>
    </row>
    <row r="69" spans="1:34" s="956" customFormat="1">
      <c r="A69" s="961"/>
      <c r="B69" s="961"/>
      <c r="C69" s="966"/>
      <c r="E69" s="963"/>
      <c r="G69" s="964">
        <f t="shared" si="27"/>
        <v>0</v>
      </c>
      <c r="I69" s="964">
        <f t="shared" si="27"/>
        <v>0</v>
      </c>
      <c r="K69" s="964">
        <f t="shared" si="27"/>
        <v>0</v>
      </c>
      <c r="M69" s="964">
        <f t="shared" si="27"/>
        <v>0</v>
      </c>
      <c r="O69" s="964">
        <f t="shared" si="27"/>
        <v>0</v>
      </c>
      <c r="Q69" s="964">
        <f t="shared" si="27"/>
        <v>0</v>
      </c>
      <c r="S69" s="964">
        <f t="shared" si="27"/>
        <v>0</v>
      </c>
      <c r="U69" s="964">
        <f t="shared" si="27"/>
        <v>0</v>
      </c>
      <c r="W69" s="964">
        <f t="shared" si="27"/>
        <v>0</v>
      </c>
      <c r="Y69" s="964">
        <f t="shared" si="27"/>
        <v>0</v>
      </c>
      <c r="AA69" s="964">
        <f t="shared" si="27"/>
        <v>0</v>
      </c>
      <c r="AC69" s="964">
        <f t="shared" si="27"/>
        <v>0</v>
      </c>
      <c r="AE69" s="964">
        <f t="shared" si="27"/>
        <v>0</v>
      </c>
      <c r="AG69" s="964">
        <f t="shared" si="27"/>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384943.0128077222</v>
      </c>
      <c r="W70" s="956">
        <f>SUM(W66:W69)</f>
        <v>667221.307864998</v>
      </c>
      <c r="Y70" s="956">
        <f>SUM(Y66:Y69)</f>
        <v>716783.36228988972</v>
      </c>
      <c r="AA70" s="956">
        <f>SUM(AA66:AA69)</f>
        <v>767084.29526517657</v>
      </c>
      <c r="AC70" s="956">
        <f>SUM(AC66:AC69)</f>
        <v>818124.63922524254</v>
      </c>
      <c r="AE70" s="956">
        <f>SUM(AE66:AE69)</f>
        <v>869904.30350897356</v>
      </c>
      <c r="AG70" s="956">
        <f>SUM(AG66:AG69)</f>
        <v>922422.53634209395</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6" t="s">
        <v>1710</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3753151</v>
      </c>
      <c r="C5" s="266">
        <f>'Sources and Uses Budget'!$C4</f>
        <v>3753151</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3753151</v>
      </c>
      <c r="C9" s="270">
        <f>SUM(C5:C8)</f>
        <v>3753151</v>
      </c>
      <c r="D9" s="270">
        <f t="shared" si="0"/>
        <v>0</v>
      </c>
      <c r="E9" s="268"/>
      <c r="F9" s="267"/>
    </row>
    <row r="10" spans="1:6" s="352" customFormat="1">
      <c r="A10" s="364" t="s">
        <v>594</v>
      </c>
      <c r="B10" s="266">
        <f>'Sources and Uses Budget'!$C9</f>
        <v>41534874</v>
      </c>
      <c r="C10" s="266">
        <f>'Sources and Uses Budget'!$C9</f>
        <v>41534874</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41534874</v>
      </c>
      <c r="C12" s="270">
        <f>SUM(C10:C11)</f>
        <v>41534874</v>
      </c>
      <c r="D12" s="270">
        <f t="shared" si="0"/>
        <v>0</v>
      </c>
      <c r="E12" s="268"/>
      <c r="F12" s="267"/>
    </row>
    <row r="13" spans="1:6" s="352" customFormat="1">
      <c r="A13" s="365" t="s">
        <v>84</v>
      </c>
      <c r="B13" s="270">
        <f>SUM(B9+B12)</f>
        <v>45288025</v>
      </c>
      <c r="C13" s="270">
        <f>SUM(C9+C12)</f>
        <v>45288025</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13320000</v>
      </c>
      <c r="C19" s="266">
        <f>'Sources and Uses Budget'!$C18</f>
        <v>13320000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932400</v>
      </c>
      <c r="C21" s="266">
        <f>'Sources and Uses Budget'!$C20</f>
        <v>932400</v>
      </c>
      <c r="D21" s="270">
        <f t="shared" si="0"/>
        <v>0</v>
      </c>
      <c r="E21" s="268"/>
      <c r="F21" s="267"/>
    </row>
    <row r="22" spans="1:6" s="352" customFormat="1">
      <c r="A22" s="145" t="s">
        <v>138</v>
      </c>
      <c r="B22" s="266">
        <f>'Sources and Uses Budget'!$C21</f>
        <v>932400</v>
      </c>
      <c r="C22" s="266">
        <f>'Sources and Uses Budget'!$C21</f>
        <v>932400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15184800</v>
      </c>
      <c r="C27" s="270">
        <f>SUM(C18:C26)</f>
        <v>15184800</v>
      </c>
      <c r="D27" s="270">
        <f>SUM(D18:D26)</f>
        <v>0</v>
      </c>
      <c r="E27" s="268"/>
      <c r="F27" s="267"/>
    </row>
    <row r="28" spans="1:6" s="352" customFormat="1">
      <c r="A28" s="271" t="s">
        <v>141</v>
      </c>
      <c r="B28" s="266">
        <f>'Sources and Uses Budget'!$C$27</f>
        <v>100000</v>
      </c>
      <c r="C28" s="266">
        <f>'Sources and Uses Budget'!$C$27</f>
        <v>100000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50000</v>
      </c>
      <c r="C41" s="266">
        <f>'Sources and Uses Budget'!$C40</f>
        <v>50000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50000</v>
      </c>
      <c r="C43" s="270">
        <f>SUM(C41:C42)</f>
        <v>50000</v>
      </c>
      <c r="D43" s="270">
        <f t="shared" si="0"/>
        <v>0</v>
      </c>
      <c r="E43" s="268"/>
      <c r="F43" s="267"/>
    </row>
    <row r="44" spans="1:6" s="352" customFormat="1">
      <c r="A44" s="271" t="s">
        <v>148</v>
      </c>
      <c r="B44" s="266">
        <f>'Sources and Uses Budget'!$C43</f>
        <v>50000</v>
      </c>
      <c r="C44" s="266">
        <f>'Sources and Uses Budget'!$C43</f>
        <v>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3684456</v>
      </c>
      <c r="C46" s="266">
        <f>'Sources and Uses Budget'!$C45</f>
        <v>3684456</v>
      </c>
      <c r="D46" s="270">
        <f t="shared" si="0"/>
        <v>0</v>
      </c>
      <c r="E46" s="268"/>
      <c r="F46" s="267"/>
    </row>
    <row r="47" spans="1:6" s="352" customFormat="1">
      <c r="A47" s="145" t="s">
        <v>151</v>
      </c>
      <c r="B47" s="266">
        <f>'Sources and Uses Budget'!$C46</f>
        <v>398925</v>
      </c>
      <c r="C47" s="266">
        <f>'Sources and Uses Budget'!$C46</f>
        <v>398925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Construction Guarantee Fee</v>
      </c>
      <c r="B54" s="266">
        <f>'Sources and Uses Budget'!$C53</f>
        <v>400000</v>
      </c>
      <c r="C54" s="266">
        <f>'Sources and Uses Budget'!$C53</f>
        <v>400000</v>
      </c>
      <c r="D54" s="270">
        <f t="shared" si="0"/>
        <v>0</v>
      </c>
      <c r="E54" s="268"/>
      <c r="F54" s="267"/>
    </row>
    <row r="55" spans="1:6" s="353" customFormat="1">
      <c r="A55" s="271" t="s">
        <v>157</v>
      </c>
      <c r="B55" s="273">
        <f>SUM(B46:B54)</f>
        <v>4558381</v>
      </c>
      <c r="C55" s="273">
        <f>SUM(C46:C54)</f>
        <v>4558381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0</v>
      </c>
      <c r="C63" s="270">
        <f>SUM(C57:C62)</f>
        <v>0</v>
      </c>
      <c r="D63" s="270">
        <f t="shared" si="0"/>
        <v>0</v>
      </c>
      <c r="E63" s="268"/>
      <c r="F63" s="267"/>
    </row>
    <row r="64" spans="1:6" s="352" customFormat="1">
      <c r="A64" s="274" t="s">
        <v>302</v>
      </c>
      <c r="B64" s="270">
        <f>SUM(B9+B12+B14+B15+B17+B26+B28+B39+B43+B44+B55+B63)</f>
        <v>50046406</v>
      </c>
      <c r="C64" s="270">
        <f>SUM(C9+C12+C14+C15+C17+C26+C28+C39+C43+C44+C55+C63)</f>
        <v>50046406</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132492</v>
      </c>
      <c r="C66" s="266">
        <f>'Sources and Uses Budget'!$C65</f>
        <v>132492</v>
      </c>
      <c r="D66" s="270">
        <f t="shared" si="0"/>
        <v>0</v>
      </c>
      <c r="E66" s="268"/>
      <c r="F66" s="267"/>
    </row>
    <row r="67" spans="1:6" s="352" customFormat="1" ht="24">
      <c r="A67" s="283" t="s">
        <v>1630</v>
      </c>
      <c r="B67" s="266">
        <f>'Sources and Uses Budget'!$C66</f>
        <v>100000</v>
      </c>
      <c r="C67" s="266">
        <f>'Sources and Uses Budget'!$C66</f>
        <v>100000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Hearthstone Fees and Attorney</v>
      </c>
      <c r="B70" s="266">
        <f>'Sources and Uses Budget'!$C69</f>
        <v>24500</v>
      </c>
      <c r="C70" s="266">
        <f>'Sources and Uses Budget'!$C69</f>
        <v>24500</v>
      </c>
      <c r="D70" s="270">
        <f t="shared" si="0"/>
        <v>0</v>
      </c>
      <c r="E70" s="268"/>
      <c r="F70" s="267"/>
    </row>
    <row r="71" spans="1:6" s="352" customFormat="1">
      <c r="A71" s="149" t="s">
        <v>1634</v>
      </c>
      <c r="B71" s="270">
        <f>SUM(B66:B70)</f>
        <v>256992</v>
      </c>
      <c r="C71" s="270">
        <f>SUM(C66:C70)</f>
        <v>256992</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804216</v>
      </c>
      <c r="C76" s="266">
        <f>'Sources and Uses Budget'!$C75</f>
        <v>804216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804216</v>
      </c>
      <c r="C78" s="270">
        <f>SUM(C73:C77)</f>
        <v>804216</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759240</v>
      </c>
      <c r="C80" s="266">
        <f>'Sources and Uses Budget'!$C79</f>
        <v>759240</v>
      </c>
      <c r="D80" s="270">
        <f t="shared" si="1"/>
        <v>0</v>
      </c>
      <c r="E80" s="268"/>
      <c r="F80" s="267"/>
    </row>
    <row r="81" spans="1:6" s="352" customFormat="1">
      <c r="A81" s="510" t="s">
        <v>58</v>
      </c>
      <c r="B81" s="266">
        <f>'Sources and Uses Budget'!$C80</f>
        <v>125000</v>
      </c>
      <c r="C81" s="266">
        <f>'Sources and Uses Budget'!$C80</f>
        <v>125000</v>
      </c>
      <c r="D81" s="270">
        <f>C81-B81</f>
        <v>0</v>
      </c>
      <c r="E81" s="268"/>
      <c r="F81" s="267"/>
    </row>
    <row r="82" spans="1:6" s="352" customFormat="1">
      <c r="A82" s="271" t="s">
        <v>1209</v>
      </c>
      <c r="B82" s="270">
        <f>SUM(B80:B81)</f>
        <v>884240</v>
      </c>
      <c r="C82" s="270">
        <f>SUM(C80:C81)</f>
        <v>884240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120000</v>
      </c>
      <c r="C84" s="266">
        <f>'Sources and Uses Budget'!$C83</f>
        <v>120000</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100000</v>
      </c>
      <c r="C87" s="266">
        <f>'Sources and Uses Budget'!$C86</f>
        <v>100000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300000</v>
      </c>
      <c r="C90" s="266">
        <f>'Sources and Uses Budget'!$C89</f>
        <v>300000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75000</v>
      </c>
      <c r="C92" s="266">
        <f>'Sources and Uses Budget'!$C91</f>
        <v>75000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20000</v>
      </c>
      <c r="C94" s="266">
        <f>'Sources and Uses Budget'!$C93</f>
        <v>20000</v>
      </c>
      <c r="D94" s="270">
        <f t="shared" si="1"/>
        <v>0</v>
      </c>
      <c r="E94" s="268"/>
      <c r="F94" s="267"/>
    </row>
    <row r="95" spans="1:6" s="352" customFormat="1">
      <c r="A95" s="272" t="s">
        <v>34</v>
      </c>
      <c r="B95" s="266">
        <f>'Sources and Uses Budget'!$C94</f>
        <v>26000</v>
      </c>
      <c r="C95" s="266">
        <f>'Sources and Uses Budget'!$C94</f>
        <v>26000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661000</v>
      </c>
      <c r="C97" s="270">
        <f>SUM(C84:C96)</f>
        <v>661000</v>
      </c>
      <c r="D97" s="270">
        <f t="shared" si="1"/>
        <v>0</v>
      </c>
      <c r="E97" s="268"/>
      <c r="F97" s="267"/>
    </row>
    <row r="98" spans="1:6" s="352" customFormat="1">
      <c r="A98" s="271" t="s">
        <v>775</v>
      </c>
      <c r="B98" s="270">
        <f>SUM(B64+B71+B78+B82+B97)</f>
        <v>52652854</v>
      </c>
      <c r="C98" s="270">
        <f>SUM(C64+C71+C78+C82+C97)</f>
        <v>52652854</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4679506</v>
      </c>
      <c r="C100" s="266">
        <f>'Sources and Uses Budget'!$C99</f>
        <v>4679506</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4679506</v>
      </c>
      <c r="C105" s="270">
        <f>SUM(C100:C104)</f>
        <v>4679506</v>
      </c>
      <c r="D105" s="270">
        <f t="shared" si="1"/>
        <v>0</v>
      </c>
      <c r="E105" s="268"/>
      <c r="F105" s="267"/>
    </row>
    <row r="106" spans="1:6" s="352" customFormat="1">
      <c r="A106" s="271" t="s">
        <v>780</v>
      </c>
      <c r="B106" s="273">
        <f>SUM(B98+B105)</f>
        <v>57332360</v>
      </c>
      <c r="C106" s="273">
        <f>SUM(C98+C105)</f>
        <v>57332360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12" t="s">
        <v>1842</v>
      </c>
      <c r="B1" s="1813"/>
      <c r="C1" s="1813"/>
      <c r="D1" s="1813"/>
      <c r="E1" s="1813"/>
      <c r="F1" s="1813"/>
      <c r="G1" s="1813"/>
      <c r="H1" s="1813"/>
      <c r="I1" s="1813"/>
      <c r="J1" s="1813"/>
    </row>
    <row r="2" spans="1:10" ht="15">
      <c r="A2" s="1816" t="s">
        <v>1268</v>
      </c>
      <c r="B2" s="1817"/>
      <c r="C2" s="1817"/>
      <c r="D2" s="1817"/>
      <c r="E2" s="1817"/>
      <c r="F2" s="1817"/>
      <c r="G2" s="1817"/>
      <c r="H2" s="1817"/>
      <c r="I2" s="1817"/>
      <c r="J2" s="1817"/>
    </row>
    <row r="3" spans="1:10" ht="12.75"/>
    <row r="4" spans="1:10" ht="12.75" customHeight="1">
      <c r="A4" s="1814" t="s">
        <v>2005</v>
      </c>
      <c r="B4" s="1814"/>
      <c r="C4" s="1814"/>
      <c r="D4" s="1814"/>
      <c r="E4" s="1814"/>
      <c r="F4" s="1814"/>
      <c r="G4" s="1814"/>
      <c r="H4" s="1814"/>
      <c r="I4" s="1814"/>
      <c r="J4" s="1814"/>
    </row>
    <row r="5" spans="1:10" ht="12.75">
      <c r="A5" s="1814"/>
      <c r="B5" s="1814"/>
      <c r="C5" s="1814"/>
      <c r="D5" s="1814"/>
      <c r="E5" s="1814"/>
      <c r="F5" s="1814"/>
      <c r="G5" s="1814"/>
      <c r="H5" s="1814"/>
      <c r="I5" s="1814"/>
      <c r="J5" s="1814"/>
    </row>
    <row r="6" spans="1:10" ht="30" customHeight="1">
      <c r="A6" s="1814"/>
      <c r="B6" s="1814"/>
      <c r="C6" s="1814"/>
      <c r="D6" s="1814"/>
      <c r="E6" s="1814"/>
      <c r="F6" s="1814"/>
      <c r="G6" s="1814"/>
      <c r="H6" s="1814"/>
      <c r="I6" s="1814"/>
      <c r="J6" s="1814"/>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818" t="s">
        <v>1847</v>
      </c>
      <c r="B10" s="1818"/>
      <c r="C10" s="1818"/>
      <c r="D10" s="1818"/>
      <c r="E10" s="1818"/>
      <c r="F10" s="1818"/>
      <c r="G10" s="1818"/>
      <c r="H10" s="1818"/>
      <c r="I10" s="1818"/>
      <c r="J10" s="1818"/>
    </row>
    <row r="11" spans="1:10" ht="12.75">
      <c r="A11" s="1818"/>
      <c r="B11" s="1818"/>
      <c r="C11" s="1818"/>
      <c r="D11" s="1818"/>
      <c r="E11" s="1818"/>
      <c r="F11" s="1818"/>
      <c r="G11" s="1818"/>
      <c r="H11" s="1818"/>
      <c r="I11" s="1818"/>
      <c r="J11" s="1818"/>
    </row>
    <row r="12" spans="1:10" ht="12.75">
      <c r="A12" s="1818"/>
      <c r="B12" s="1818"/>
      <c r="C12" s="1818"/>
      <c r="D12" s="1818"/>
      <c r="E12" s="1818"/>
      <c r="F12" s="1818"/>
      <c r="G12" s="1818"/>
      <c r="H12" s="1818"/>
      <c r="I12" s="1818"/>
      <c r="J12" s="1818"/>
    </row>
    <row r="13" spans="1:10" ht="12.75">
      <c r="A13" s="1818"/>
      <c r="B13" s="1818"/>
      <c r="C13" s="1818"/>
      <c r="D13" s="1818"/>
      <c r="E13" s="1818"/>
      <c r="F13" s="1818"/>
      <c r="G13" s="1818"/>
      <c r="H13" s="1818"/>
      <c r="I13" s="1818"/>
      <c r="J13" s="1818"/>
    </row>
    <row r="14" spans="1:10" ht="12.75">
      <c r="A14" s="1818"/>
      <c r="B14" s="1818"/>
      <c r="C14" s="1818"/>
      <c r="D14" s="1818"/>
      <c r="E14" s="1818"/>
      <c r="F14" s="1818"/>
      <c r="G14" s="1818"/>
      <c r="H14" s="1818"/>
      <c r="I14" s="1818"/>
      <c r="J14" s="1818"/>
    </row>
    <row r="15" spans="1:10" ht="12.75">
      <c r="A15" s="1818"/>
      <c r="B15" s="1818"/>
      <c r="C15" s="1818"/>
      <c r="D15" s="1818"/>
      <c r="E15" s="1818"/>
      <c r="F15" s="1818"/>
      <c r="G15" s="1818"/>
      <c r="H15" s="1818"/>
      <c r="I15" s="1818"/>
      <c r="J15" s="1818"/>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7" t="s">
        <v>1189</v>
      </c>
      <c r="B19" s="1817"/>
      <c r="C19" s="1817"/>
      <c r="D19" s="1817"/>
      <c r="E19" s="181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4" t="s">
        <v>1190</v>
      </c>
      <c r="B76" s="1814"/>
      <c r="C76" s="1814"/>
      <c r="D76" s="1814"/>
      <c r="E76" s="1814"/>
      <c r="F76" s="1814"/>
      <c r="G76" s="1814"/>
      <c r="H76" s="1814"/>
      <c r="I76" s="1814"/>
      <c r="J76" s="1814"/>
    </row>
    <row r="77" spans="1:10" ht="12.75">
      <c r="A77" s="1814"/>
      <c r="B77" s="1814"/>
      <c r="C77" s="1814"/>
      <c r="D77" s="1814"/>
      <c r="E77" s="1814"/>
      <c r="F77" s="1814"/>
      <c r="G77" s="1814"/>
      <c r="H77" s="1814"/>
      <c r="I77" s="1814"/>
      <c r="J77" s="1814"/>
    </row>
    <row r="78" spans="1:10" ht="12.75">
      <c r="A78" s="1814"/>
      <c r="B78" s="1814"/>
      <c r="C78" s="1814"/>
      <c r="D78" s="1814"/>
      <c r="E78" s="1814"/>
      <c r="F78" s="1814"/>
      <c r="G78" s="1814"/>
      <c r="H78" s="1814"/>
      <c r="I78" s="1814"/>
      <c r="J78" s="1814"/>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815" t="s">
        <v>1843</v>
      </c>
      <c r="B89" s="1815"/>
      <c r="C89" s="1815"/>
      <c r="D89" s="1815"/>
      <c r="E89" s="1815"/>
      <c r="F89" s="1815"/>
      <c r="G89" s="1815"/>
      <c r="H89" s="1815"/>
      <c r="I89" s="1815"/>
    </row>
    <row r="90" spans="1:9" ht="12.75">
      <c r="A90" s="1806" t="s">
        <v>2003</v>
      </c>
      <c r="B90" s="1806"/>
      <c r="C90" s="1806"/>
      <c r="D90" s="1806"/>
      <c r="E90" s="1806"/>
    </row>
    <row r="91" spans="1:9" ht="12.75">
      <c r="A91" s="1806" t="s">
        <v>2004</v>
      </c>
      <c r="B91" s="1806"/>
      <c r="C91" s="1806"/>
      <c r="D91" s="1806"/>
      <c r="E91" s="1806"/>
    </row>
    <row r="92" spans="1:9" ht="12.75">
      <c r="A92" s="1806" t="s">
        <v>1844</v>
      </c>
      <c r="B92" s="1806"/>
      <c r="C92" s="1806"/>
      <c r="D92" s="1806"/>
      <c r="E92" s="180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20" workbookViewId="0">
      <selection activeCell="B1141" sqref="B114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20" t="s">
        <v>2600</v>
      </c>
      <c r="B2" s="1820"/>
      <c r="C2" s="1820"/>
      <c r="D2" s="1820"/>
      <c r="E2" s="1820"/>
      <c r="F2" s="1820"/>
      <c r="G2" s="1820"/>
      <c r="H2" s="1820"/>
      <c r="I2" s="1820"/>
    </row>
    <row r="3" spans="1:13">
      <c r="A3" s="1821" t="s">
        <v>2172</v>
      </c>
      <c r="B3" s="1821"/>
      <c r="C3" s="1821"/>
      <c r="D3" s="1821"/>
      <c r="E3" s="1821"/>
      <c r="F3" s="1821"/>
      <c r="G3" s="1821"/>
      <c r="H3" s="1821"/>
      <c r="I3" s="1821"/>
    </row>
    <row r="4" spans="1:13">
      <c r="A4" s="1821"/>
      <c r="B4" s="1821"/>
      <c r="C4" s="1817"/>
      <c r="D4" s="1817"/>
      <c r="E4" s="1817"/>
      <c r="F4" s="1817"/>
      <c r="G4" s="1817"/>
    </row>
    <row r="5" spans="1:13">
      <c r="A5" s="1821"/>
      <c r="B5" s="1821"/>
      <c r="C5" s="1817"/>
      <c r="D5" s="1817"/>
      <c r="E5" s="1817"/>
      <c r="F5" s="1817"/>
      <c r="G5" s="1817"/>
    </row>
    <row r="6" spans="1:13" ht="12.75" customHeight="1">
      <c r="A6" s="1843" t="s">
        <v>2171</v>
      </c>
      <c r="B6" s="1843"/>
      <c r="C6" s="1843"/>
      <c r="D6" s="1843"/>
      <c r="E6" s="1843"/>
      <c r="F6" s="1843"/>
      <c r="G6" s="1843"/>
      <c r="I6" s="490"/>
    </row>
    <row r="7" spans="1:13">
      <c r="A7" s="1843"/>
      <c r="B7" s="1843"/>
      <c r="C7" s="1843"/>
      <c r="D7" s="1843"/>
      <c r="E7" s="1843"/>
      <c r="F7" s="1843"/>
      <c r="G7" s="1843"/>
      <c r="I7" s="490"/>
    </row>
    <row r="8" spans="1:13">
      <c r="A8" s="481"/>
      <c r="B8" s="481"/>
      <c r="C8" s="482"/>
      <c r="D8" s="482"/>
      <c r="E8" s="482"/>
      <c r="F8" s="482"/>
    </row>
    <row r="9" spans="1:13">
      <c r="A9" s="1825" t="s">
        <v>1101</v>
      </c>
      <c r="B9" s="1825"/>
      <c r="C9" s="1825"/>
      <c r="D9" s="1825"/>
      <c r="E9" s="1825"/>
      <c r="F9" s="1825"/>
      <c r="G9" s="1825"/>
      <c r="H9" s="1023"/>
      <c r="I9" s="1024"/>
    </row>
    <row r="10" spans="1:13">
      <c r="A10" s="482"/>
      <c r="B10" s="482"/>
      <c r="E10" s="404"/>
    </row>
    <row r="11" spans="1:13" ht="13.7" customHeight="1">
      <c r="C11" s="482"/>
      <c r="D11" s="1842" t="s">
        <v>1100</v>
      </c>
      <c r="E11" s="1842"/>
      <c r="F11" s="1842"/>
    </row>
    <row r="12" spans="1:13">
      <c r="C12" s="482"/>
      <c r="D12" s="1842"/>
      <c r="E12" s="1842"/>
      <c r="F12" s="1842"/>
    </row>
    <row r="13" spans="1:13">
      <c r="A13" s="483"/>
      <c r="B13" s="483"/>
      <c r="C13" s="483"/>
      <c r="D13" s="1823" t="s">
        <v>1090</v>
      </c>
      <c r="E13" s="1823"/>
      <c r="F13" s="1823"/>
      <c r="M13" s="96"/>
    </row>
    <row r="14" spans="1:13">
      <c r="A14" s="483"/>
      <c r="B14" s="483"/>
      <c r="C14" s="483"/>
      <c r="D14" s="476"/>
      <c r="L14" s="312"/>
    </row>
    <row r="15" spans="1:13" ht="14.25">
      <c r="A15" s="484"/>
      <c r="B15" s="485" t="s">
        <v>2791</v>
      </c>
      <c r="C15" s="483"/>
      <c r="D15" s="1822" t="s">
        <v>1894</v>
      </c>
      <c r="E15" s="1822"/>
      <c r="F15" s="1822"/>
      <c r="I15" s="490"/>
    </row>
    <row r="16" spans="1:13">
      <c r="A16" s="483"/>
      <c r="B16" s="483"/>
      <c r="C16" s="483"/>
      <c r="D16" s="1822"/>
      <c r="E16" s="1822"/>
      <c r="F16" s="1822"/>
      <c r="I16" s="490"/>
    </row>
    <row r="17" spans="1:9">
      <c r="A17" s="483"/>
      <c r="B17" s="483"/>
      <c r="C17" s="483"/>
      <c r="D17" s="1822"/>
      <c r="E17" s="1822"/>
      <c r="F17" s="1822"/>
      <c r="I17" s="490"/>
    </row>
    <row r="18" spans="1:9">
      <c r="A18" s="483"/>
      <c r="B18" s="483"/>
      <c r="C18" s="483"/>
      <c r="D18" s="445"/>
      <c r="E18" s="312" t="s">
        <v>1892</v>
      </c>
      <c r="F18" s="445"/>
      <c r="I18" s="490"/>
    </row>
    <row r="19" spans="1:9">
      <c r="A19" s="483"/>
      <c r="B19" s="483"/>
      <c r="C19" s="483"/>
      <c r="I19" s="490"/>
    </row>
    <row r="20" spans="1:9" ht="14.25">
      <c r="A20" s="484"/>
      <c r="B20" s="485" t="s">
        <v>2791</v>
      </c>
      <c r="D20" s="1822" t="s">
        <v>1895</v>
      </c>
      <c r="E20" s="1822"/>
      <c r="F20" s="1822"/>
      <c r="I20" s="490"/>
    </row>
    <row r="21" spans="1:9" ht="14.25">
      <c r="A21" s="484"/>
      <c r="D21" s="1822"/>
      <c r="E21" s="1822"/>
      <c r="F21" s="1822"/>
      <c r="I21" s="490"/>
    </row>
    <row r="22" spans="1:9" ht="14.25">
      <c r="A22" s="484"/>
      <c r="D22" s="392"/>
      <c r="E22" s="96" t="s">
        <v>1891</v>
      </c>
      <c r="F22" s="392"/>
      <c r="I22" s="490"/>
    </row>
    <row r="23" spans="1:9" ht="14.25">
      <c r="A23" s="484"/>
      <c r="B23" s="484"/>
      <c r="D23" s="446"/>
      <c r="I23" s="490"/>
    </row>
    <row r="24" spans="1:9" ht="14.25">
      <c r="A24" s="484"/>
      <c r="B24" s="485" t="s">
        <v>307</v>
      </c>
      <c r="D24" s="1822" t="s">
        <v>1091</v>
      </c>
      <c r="E24" s="1822"/>
      <c r="F24" s="1822"/>
      <c r="I24" s="490"/>
    </row>
    <row r="25" spans="1:9" ht="14.25">
      <c r="A25" s="484"/>
      <c r="B25" s="484"/>
      <c r="D25" s="1822"/>
      <c r="E25" s="1822"/>
      <c r="F25" s="1822"/>
      <c r="I25" s="490"/>
    </row>
    <row r="26" spans="1:9">
      <c r="I26" s="490"/>
    </row>
    <row r="27" spans="1:9" ht="14.25">
      <c r="A27" s="484"/>
      <c r="B27" s="485" t="s">
        <v>2791</v>
      </c>
      <c r="D27" s="1822" t="s">
        <v>2006</v>
      </c>
      <c r="E27" s="1822"/>
      <c r="F27" s="1822"/>
      <c r="I27" s="490"/>
    </row>
    <row r="28" spans="1:9">
      <c r="D28" s="1822"/>
      <c r="E28" s="1822"/>
      <c r="F28" s="1822"/>
      <c r="I28" s="490"/>
    </row>
    <row r="29" spans="1:9">
      <c r="D29" s="1822"/>
      <c r="E29" s="1822"/>
      <c r="F29" s="1822"/>
      <c r="I29" s="490"/>
    </row>
    <row r="30" spans="1:9">
      <c r="D30" s="1822"/>
      <c r="E30" s="1822"/>
      <c r="F30" s="1822"/>
      <c r="I30" s="490"/>
    </row>
    <row r="31" spans="1:9">
      <c r="D31" s="1822"/>
      <c r="E31" s="1822"/>
      <c r="F31" s="1822"/>
      <c r="I31" s="490"/>
    </row>
    <row r="32" spans="1:9">
      <c r="D32" s="447"/>
      <c r="I32" s="490"/>
    </row>
    <row r="33" spans="1:9">
      <c r="B33" s="485" t="s">
        <v>2791</v>
      </c>
      <c r="D33" s="1822" t="s">
        <v>2007</v>
      </c>
      <c r="E33" s="1822"/>
      <c r="F33" s="1822"/>
      <c r="I33" s="490"/>
    </row>
    <row r="34" spans="1:9">
      <c r="D34" s="1822"/>
      <c r="E34" s="1822"/>
      <c r="F34" s="1822"/>
      <c r="I34" s="490"/>
    </row>
    <row r="35" spans="1:9" ht="14.25">
      <c r="A35" s="484"/>
      <c r="B35" s="484"/>
      <c r="D35" s="447"/>
      <c r="I35" s="490"/>
    </row>
    <row r="36" spans="1:9" ht="14.45" customHeight="1">
      <c r="A36" s="484"/>
      <c r="B36" s="485" t="s">
        <v>2791</v>
      </c>
      <c r="D36" s="1822" t="s">
        <v>1214</v>
      </c>
      <c r="E36" s="1822"/>
      <c r="F36" s="1822"/>
      <c r="I36" s="490"/>
    </row>
    <row r="37" spans="1:9" ht="14.25">
      <c r="A37" s="484"/>
      <c r="B37" s="484"/>
      <c r="D37" s="1822"/>
      <c r="E37" s="1822"/>
      <c r="F37" s="1822"/>
      <c r="I37" s="490"/>
    </row>
    <row r="38" spans="1:9" ht="14.25">
      <c r="A38" s="484"/>
      <c r="B38" s="484"/>
      <c r="D38" s="1822"/>
      <c r="E38" s="1822"/>
      <c r="F38" s="1822"/>
      <c r="I38" s="490"/>
    </row>
    <row r="39" spans="1:9" ht="14.25">
      <c r="A39" s="484"/>
      <c r="B39" s="484"/>
      <c r="D39" s="1822"/>
      <c r="E39" s="1822"/>
      <c r="F39" s="1822"/>
      <c r="I39" s="490"/>
    </row>
    <row r="40" spans="1:9" ht="14.25">
      <c r="A40" s="484"/>
      <c r="B40" s="484"/>
      <c r="I40" s="490"/>
    </row>
    <row r="41" spans="1:9" ht="14.25">
      <c r="A41" s="484"/>
      <c r="B41" s="485" t="s">
        <v>2792</v>
      </c>
      <c r="D41" s="1822" t="s">
        <v>1092</v>
      </c>
      <c r="E41" s="1822"/>
      <c r="F41" s="1822"/>
      <c r="I41" s="490"/>
    </row>
    <row r="42" spans="1:9" ht="14.25">
      <c r="A42" s="484"/>
      <c r="B42" s="484"/>
      <c r="D42" s="1822"/>
      <c r="E42" s="1822"/>
      <c r="F42" s="1822"/>
      <c r="I42" s="490"/>
    </row>
    <row r="43" spans="1:9" ht="14.25">
      <c r="A43" s="484"/>
      <c r="B43" s="484"/>
      <c r="D43" s="1822"/>
      <c r="E43" s="1822"/>
      <c r="F43" s="1822"/>
      <c r="I43" s="490"/>
    </row>
    <row r="44" spans="1:9" ht="14.25">
      <c r="A44" s="484"/>
      <c r="B44" s="484"/>
      <c r="D44" s="1822"/>
      <c r="E44" s="1822"/>
      <c r="F44" s="1822"/>
      <c r="I44" s="490"/>
    </row>
    <row r="45" spans="1:9" ht="14.25">
      <c r="A45" s="484"/>
      <c r="B45" s="484"/>
      <c r="D45" s="1822"/>
      <c r="E45" s="1822"/>
      <c r="F45" s="1822"/>
      <c r="I45" s="490"/>
    </row>
    <row r="46" spans="1:9" ht="14.25">
      <c r="A46" s="484"/>
      <c r="B46" s="484"/>
      <c r="D46" s="445"/>
      <c r="E46" s="445"/>
      <c r="F46" s="445"/>
      <c r="I46" s="490"/>
    </row>
    <row r="47" spans="1:9" ht="14.25">
      <c r="A47" s="484"/>
      <c r="B47" s="485" t="s">
        <v>2792</v>
      </c>
      <c r="D47" s="1822" t="s">
        <v>1093</v>
      </c>
      <c r="E47" s="1822"/>
      <c r="F47" s="1822"/>
      <c r="I47" s="490"/>
    </row>
    <row r="48" spans="1:9" ht="14.25">
      <c r="A48" s="484"/>
      <c r="B48" s="484"/>
      <c r="D48" s="1822"/>
      <c r="E48" s="1822"/>
      <c r="F48" s="1822"/>
      <c r="I48" s="490"/>
    </row>
    <row r="49" spans="1:9" ht="14.25">
      <c r="A49" s="484"/>
      <c r="B49" s="484"/>
      <c r="D49" s="1822"/>
      <c r="E49" s="1822"/>
      <c r="F49" s="1822"/>
      <c r="I49" s="490"/>
    </row>
    <row r="50" spans="1:9" ht="23.25" customHeight="1">
      <c r="A50" s="484"/>
      <c r="B50" s="484"/>
      <c r="D50" s="1822"/>
      <c r="E50" s="1822"/>
      <c r="F50" s="1822"/>
      <c r="I50" s="490"/>
    </row>
    <row r="51" spans="1:9" ht="14.25">
      <c r="A51" s="484"/>
      <c r="B51" s="484"/>
      <c r="D51" s="446"/>
      <c r="I51" s="490"/>
    </row>
    <row r="52" spans="1:9" ht="14.45" customHeight="1">
      <c r="A52" s="484"/>
      <c r="B52" s="485" t="s">
        <v>2791</v>
      </c>
      <c r="D52" s="1822" t="s">
        <v>1094</v>
      </c>
      <c r="E52" s="1822"/>
      <c r="F52" s="1822"/>
      <c r="I52" s="490"/>
    </row>
    <row r="53" spans="1:9" ht="14.25">
      <c r="A53" s="484"/>
      <c r="B53" s="484"/>
      <c r="D53" s="1822"/>
      <c r="E53" s="1822"/>
      <c r="F53" s="1822"/>
      <c r="I53" s="490"/>
    </row>
    <row r="54" spans="1:9" ht="14.25">
      <c r="A54" s="484"/>
      <c r="B54" s="484"/>
      <c r="D54" s="1822"/>
      <c r="E54" s="1822"/>
      <c r="F54" s="1822"/>
      <c r="I54" s="490"/>
    </row>
    <row r="55" spans="1:9" ht="14.25">
      <c r="A55" s="484"/>
      <c r="B55" s="484"/>
      <c r="I55" s="490"/>
    </row>
    <row r="56" spans="1:9" ht="14.25">
      <c r="A56" s="484"/>
      <c r="B56" s="485" t="s">
        <v>2791</v>
      </c>
      <c r="D56" s="1844" t="s">
        <v>1095</v>
      </c>
      <c r="E56" s="1844"/>
      <c r="F56" s="1844"/>
      <c r="I56" s="490"/>
    </row>
    <row r="57" spans="1:9" ht="14.25">
      <c r="A57" s="484"/>
      <c r="B57" s="484"/>
      <c r="D57" s="1844"/>
      <c r="E57" s="1844"/>
      <c r="F57" s="1844"/>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2792</v>
      </c>
      <c r="D61" s="1822" t="s">
        <v>1096</v>
      </c>
      <c r="E61" s="1822"/>
      <c r="F61" s="1822"/>
      <c r="I61" s="490"/>
    </row>
    <row r="62" spans="1:9">
      <c r="D62" s="1822"/>
      <c r="E62" s="1822"/>
      <c r="F62" s="1822"/>
      <c r="I62" s="490"/>
    </row>
    <row r="63" spans="1:9">
      <c r="D63" s="1822"/>
      <c r="E63" s="1822"/>
      <c r="F63" s="1822"/>
      <c r="I63" s="490"/>
    </row>
    <row r="64" spans="1:9">
      <c r="I64" s="490"/>
    </row>
    <row r="65" spans="1:9" ht="14.25">
      <c r="A65" s="484"/>
      <c r="B65" s="485" t="s">
        <v>2792</v>
      </c>
      <c r="D65" s="1822" t="s">
        <v>1097</v>
      </c>
      <c r="E65" s="1822"/>
      <c r="F65" s="1822"/>
      <c r="I65" s="490"/>
    </row>
    <row r="66" spans="1:9">
      <c r="D66" s="1822"/>
      <c r="E66" s="1822"/>
      <c r="F66" s="1822"/>
      <c r="I66" s="490"/>
    </row>
    <row r="67" spans="1:9">
      <c r="I67" s="490"/>
    </row>
    <row r="68" spans="1:9" ht="14.25">
      <c r="A68" s="484"/>
      <c r="B68" s="485" t="s">
        <v>2791</v>
      </c>
      <c r="D68" s="1822" t="s">
        <v>1098</v>
      </c>
      <c r="E68" s="1822"/>
      <c r="F68" s="1822"/>
      <c r="I68" s="490"/>
    </row>
    <row r="69" spans="1:9">
      <c r="D69" s="1822"/>
      <c r="E69" s="1822"/>
      <c r="F69" s="1822"/>
      <c r="I69" s="490"/>
    </row>
    <row r="70" spans="1:9">
      <c r="D70" s="1822"/>
      <c r="E70" s="1822"/>
      <c r="F70" s="1822"/>
      <c r="I70" s="490"/>
    </row>
    <row r="71" spans="1:9">
      <c r="I71" s="490"/>
    </row>
    <row r="72" spans="1:9" ht="14.25">
      <c r="A72" s="484"/>
      <c r="B72" s="485" t="s">
        <v>2791</v>
      </c>
      <c r="D72" s="1822" t="s">
        <v>1099</v>
      </c>
      <c r="E72" s="1822"/>
      <c r="F72" s="1822"/>
      <c r="I72" s="490"/>
    </row>
    <row r="73" spans="1:9">
      <c r="D73" s="1822"/>
      <c r="E73" s="1822"/>
      <c r="F73" s="1822"/>
      <c r="I73" s="490"/>
    </row>
    <row r="74" spans="1:9" ht="14.25">
      <c r="A74" s="484"/>
      <c r="B74" s="484"/>
      <c r="D74" s="446"/>
      <c r="I74" s="490"/>
    </row>
    <row r="75" spans="1:9">
      <c r="A75" s="1825" t="s">
        <v>1044</v>
      </c>
      <c r="B75" s="1825"/>
      <c r="C75" s="1825"/>
      <c r="D75" s="1825"/>
      <c r="E75" s="1825"/>
      <c r="F75" s="1825"/>
      <c r="G75" s="1825"/>
      <c r="H75" s="1023"/>
      <c r="I75" s="1147"/>
    </row>
    <row r="76" spans="1:9">
      <c r="I76" s="490"/>
    </row>
    <row r="77" spans="1:9">
      <c r="C77" s="486"/>
      <c r="D77" s="1824" t="s">
        <v>1102</v>
      </c>
      <c r="E77" s="1824"/>
      <c r="F77" s="1824"/>
      <c r="I77" s="490"/>
    </row>
    <row r="78" spans="1:9">
      <c r="A78" s="446"/>
      <c r="B78" s="446"/>
      <c r="D78" s="1822" t="s">
        <v>1117</v>
      </c>
      <c r="E78" s="1822"/>
      <c r="F78" s="1822"/>
      <c r="I78" s="490"/>
    </row>
    <row r="79" spans="1:9">
      <c r="A79" s="446"/>
      <c r="B79" s="446"/>
      <c r="I79" s="490"/>
    </row>
    <row r="80" spans="1:9" ht="13.7" customHeight="1">
      <c r="A80" s="484"/>
      <c r="B80" s="485" t="s">
        <v>2791</v>
      </c>
      <c r="D80" s="1822" t="s">
        <v>1245</v>
      </c>
      <c r="E80" s="1822"/>
      <c r="F80" s="1822"/>
      <c r="I80" s="490"/>
    </row>
    <row r="81" spans="1:9" ht="14.25">
      <c r="A81" s="484"/>
      <c r="B81" s="484"/>
      <c r="D81" s="1822"/>
      <c r="E81" s="1822"/>
      <c r="F81" s="1822"/>
      <c r="I81" s="490"/>
    </row>
    <row r="82" spans="1:9" ht="14.25">
      <c r="A82" s="484"/>
      <c r="B82" s="484"/>
      <c r="D82" s="1822"/>
      <c r="E82" s="1822"/>
      <c r="F82" s="1822"/>
      <c r="I82" s="490"/>
    </row>
    <row r="83" spans="1:9" ht="14.25">
      <c r="A83" s="484"/>
      <c r="B83" s="484"/>
      <c r="D83" s="1822"/>
      <c r="E83" s="1822"/>
      <c r="F83" s="1822"/>
      <c r="I83" s="490"/>
    </row>
    <row r="84" spans="1:9" ht="14.25">
      <c r="A84" s="484"/>
      <c r="B84" s="484"/>
      <c r="D84" s="1822"/>
      <c r="E84" s="1822"/>
      <c r="F84" s="1822"/>
      <c r="I84" s="490"/>
    </row>
    <row r="85" spans="1:9" ht="14.25">
      <c r="A85" s="484"/>
      <c r="B85" s="484"/>
      <c r="D85" s="1822"/>
      <c r="E85" s="1822"/>
      <c r="F85" s="1822"/>
      <c r="I85" s="490"/>
    </row>
    <row r="86" spans="1:9" ht="14.25">
      <c r="A86" s="484"/>
      <c r="B86" s="484"/>
      <c r="D86" s="1822"/>
      <c r="E86" s="1822"/>
      <c r="F86" s="1822"/>
      <c r="I86" s="490"/>
    </row>
    <row r="87" spans="1:9" ht="14.25">
      <c r="A87" s="484"/>
      <c r="B87" s="484"/>
      <c r="D87" s="1822"/>
      <c r="E87" s="1822"/>
      <c r="F87" s="1822"/>
      <c r="I87" s="490"/>
    </row>
    <row r="88" spans="1:9" ht="14.25">
      <c r="A88" s="484"/>
      <c r="B88" s="484"/>
      <c r="D88" s="385"/>
      <c r="E88" s="385"/>
      <c r="F88" s="385"/>
      <c r="I88" s="490"/>
    </row>
    <row r="89" spans="1:9" ht="15" customHeight="1">
      <c r="A89" s="484"/>
      <c r="B89" s="485" t="s">
        <v>2791</v>
      </c>
      <c r="D89" s="1822" t="s">
        <v>1730</v>
      </c>
      <c r="E89" s="1822"/>
      <c r="F89" s="1822"/>
      <c r="I89" s="490"/>
    </row>
    <row r="90" spans="1:9" ht="14.25">
      <c r="A90" s="484"/>
      <c r="B90" s="484"/>
      <c r="D90" s="1822"/>
      <c r="E90" s="1822"/>
      <c r="F90" s="1822"/>
      <c r="I90" s="490"/>
    </row>
    <row r="91" spans="1:9" ht="14.25">
      <c r="A91" s="484"/>
      <c r="B91" s="484"/>
      <c r="D91" s="445"/>
      <c r="E91" s="445"/>
      <c r="F91" s="445"/>
      <c r="I91" s="490"/>
    </row>
    <row r="92" spans="1:9" ht="14.25">
      <c r="A92" s="484"/>
      <c r="B92" s="485" t="s">
        <v>2791</v>
      </c>
      <c r="D92" s="1822" t="s">
        <v>1733</v>
      </c>
      <c r="E92" s="1822"/>
      <c r="F92" s="1822"/>
      <c r="I92" s="490"/>
    </row>
    <row r="93" spans="1:9" ht="14.25">
      <c r="A93" s="484"/>
      <c r="B93" s="484"/>
      <c r="D93" s="1822"/>
      <c r="E93" s="1822"/>
      <c r="F93" s="1822"/>
      <c r="I93" s="490"/>
    </row>
    <row r="94" spans="1:9" ht="14.25">
      <c r="A94" s="484"/>
      <c r="B94" s="484"/>
      <c r="D94" s="1822"/>
      <c r="E94" s="1822"/>
      <c r="F94" s="1822"/>
      <c r="I94" s="490"/>
    </row>
    <row r="95" spans="1:9" ht="14.25">
      <c r="A95" s="484"/>
      <c r="B95" s="484"/>
      <c r="D95" s="445"/>
      <c r="E95" s="445"/>
      <c r="F95" s="445"/>
      <c r="I95" s="490"/>
    </row>
    <row r="96" spans="1:9" ht="14.25">
      <c r="A96" s="484"/>
      <c r="B96" s="485" t="s">
        <v>2791</v>
      </c>
      <c r="D96" s="1822" t="s">
        <v>1732</v>
      </c>
      <c r="E96" s="1822"/>
      <c r="F96" s="1822"/>
      <c r="I96" s="490"/>
    </row>
    <row r="97" spans="1:9" s="982" customFormat="1" ht="14.25">
      <c r="A97" s="980"/>
      <c r="B97" s="980"/>
      <c r="C97" s="981"/>
      <c r="D97" s="1822"/>
      <c r="E97" s="1822"/>
      <c r="F97" s="1822"/>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2792</v>
      </c>
      <c r="D100" s="1822" t="s">
        <v>1731</v>
      </c>
      <c r="E100" s="1822"/>
      <c r="F100" s="1822"/>
      <c r="I100" s="490"/>
    </row>
    <row r="101" spans="1:9" ht="14.25">
      <c r="A101" s="484"/>
      <c r="B101" s="484"/>
      <c r="D101" s="1822"/>
      <c r="E101" s="1822"/>
      <c r="F101" s="1822"/>
      <c r="I101" s="490"/>
    </row>
    <row r="102" spans="1:9" ht="14.25">
      <c r="A102" s="484"/>
      <c r="B102" s="484"/>
      <c r="D102" s="445"/>
      <c r="E102" s="445"/>
      <c r="F102" s="445"/>
      <c r="I102" s="490"/>
    </row>
    <row r="103" spans="1:9" ht="14.45" customHeight="1">
      <c r="A103" s="484"/>
      <c r="B103" s="485" t="s">
        <v>2791</v>
      </c>
      <c r="D103" s="1822" t="s">
        <v>1194</v>
      </c>
      <c r="E103" s="1822"/>
      <c r="F103" s="1822"/>
      <c r="I103" s="490"/>
    </row>
    <row r="104" spans="1:9" ht="14.25">
      <c r="A104" s="484"/>
      <c r="B104" s="484"/>
      <c r="D104" s="1822"/>
      <c r="E104" s="1822"/>
      <c r="F104" s="1822"/>
      <c r="I104" s="490"/>
    </row>
    <row r="105" spans="1:9" ht="14.25">
      <c r="A105" s="484"/>
      <c r="B105" s="484"/>
      <c r="D105" s="1822"/>
      <c r="E105" s="1822"/>
      <c r="F105" s="1822"/>
      <c r="I105" s="490"/>
    </row>
    <row r="106" spans="1:9" ht="14.25">
      <c r="A106" s="484"/>
      <c r="B106" s="484"/>
      <c r="D106" s="1822"/>
      <c r="E106" s="1822"/>
      <c r="F106" s="1822"/>
      <c r="I106" s="490"/>
    </row>
    <row r="107" spans="1:9" ht="14.25">
      <c r="A107" s="484"/>
      <c r="B107" s="484"/>
      <c r="D107" s="1822"/>
      <c r="E107" s="1822"/>
      <c r="F107" s="1822"/>
      <c r="I107" s="490"/>
    </row>
    <row r="108" spans="1:9" ht="14.25">
      <c r="A108" s="484"/>
      <c r="B108" s="484"/>
      <c r="D108" s="1822"/>
      <c r="E108" s="1822"/>
      <c r="F108" s="1822"/>
      <c r="I108" s="490"/>
    </row>
    <row r="109" spans="1:9" ht="14.25">
      <c r="A109" s="484"/>
      <c r="B109" s="484"/>
      <c r="D109" s="1822"/>
      <c r="E109" s="1822"/>
      <c r="F109" s="1822"/>
      <c r="I109" s="490"/>
    </row>
    <row r="110" spans="1:9" ht="14.25">
      <c r="A110" s="484"/>
      <c r="B110" s="484"/>
      <c r="D110" s="1822"/>
      <c r="E110" s="1822"/>
      <c r="F110" s="1822"/>
      <c r="I110" s="490"/>
    </row>
    <row r="111" spans="1:9" ht="14.25">
      <c r="A111" s="484"/>
      <c r="B111" s="484"/>
      <c r="D111" s="1822"/>
      <c r="E111" s="1822"/>
      <c r="F111" s="1822"/>
      <c r="I111" s="490"/>
    </row>
    <row r="112" spans="1:9" ht="14.25">
      <c r="A112" s="484"/>
      <c r="B112" s="484"/>
      <c r="D112" s="1822"/>
      <c r="E112" s="1822"/>
      <c r="F112" s="1822"/>
      <c r="I112" s="490"/>
    </row>
    <row r="113" spans="1:9" ht="14.25">
      <c r="A113" s="484"/>
      <c r="B113" s="484"/>
      <c r="D113" s="1822"/>
      <c r="E113" s="1822"/>
      <c r="F113" s="1822"/>
      <c r="I113" s="490"/>
    </row>
    <row r="114" spans="1:9" ht="14.25">
      <c r="A114" s="484"/>
      <c r="B114" s="484"/>
      <c r="D114" s="1822"/>
      <c r="E114" s="1822"/>
      <c r="F114" s="1822"/>
      <c r="I114" s="490"/>
    </row>
    <row r="115" spans="1:9" ht="14.25">
      <c r="A115" s="484"/>
      <c r="B115" s="484"/>
      <c r="D115" s="1822"/>
      <c r="E115" s="1822"/>
      <c r="F115" s="1822"/>
      <c r="I115" s="490"/>
    </row>
    <row r="116" spans="1:9" ht="14.25">
      <c r="A116" s="484"/>
      <c r="B116" s="484"/>
      <c r="D116" s="1822"/>
      <c r="E116" s="1822"/>
      <c r="F116" s="1822"/>
      <c r="I116" s="490"/>
    </row>
    <row r="117" spans="1:9" ht="14.25">
      <c r="A117" s="484"/>
      <c r="B117" s="484"/>
      <c r="D117" s="1822"/>
      <c r="E117" s="1822"/>
      <c r="F117" s="1822"/>
      <c r="I117" s="490"/>
    </row>
    <row r="118" spans="1:9" ht="14.25">
      <c r="A118" s="484"/>
      <c r="B118" s="484"/>
      <c r="D118" s="524"/>
      <c r="E118" s="524"/>
      <c r="F118" s="524"/>
      <c r="I118" s="490"/>
    </row>
    <row r="119" spans="1:9" ht="14.25" customHeight="1">
      <c r="A119" s="484"/>
      <c r="B119" s="485" t="s">
        <v>2792</v>
      </c>
      <c r="D119" s="1840" t="s">
        <v>1103</v>
      </c>
      <c r="E119" s="1840"/>
      <c r="F119" s="1840"/>
      <c r="I119" s="490"/>
    </row>
    <row r="120" spans="1:9" ht="14.25">
      <c r="A120" s="484"/>
      <c r="B120" s="484"/>
      <c r="D120" s="1840"/>
      <c r="E120" s="1840"/>
      <c r="F120" s="1840"/>
      <c r="I120" s="490"/>
    </row>
    <row r="121" spans="1:9" ht="14.25">
      <c r="A121" s="484"/>
      <c r="B121" s="484"/>
      <c r="D121" s="1840"/>
      <c r="E121" s="1840"/>
      <c r="F121" s="1840"/>
      <c r="I121" s="490"/>
    </row>
    <row r="122" spans="1:9" ht="14.25">
      <c r="A122" s="484"/>
      <c r="B122" s="484"/>
      <c r="D122" s="1840"/>
      <c r="E122" s="1840"/>
      <c r="F122" s="1840"/>
      <c r="I122" s="490"/>
    </row>
    <row r="123" spans="1:9" ht="14.25">
      <c r="A123" s="484"/>
      <c r="B123" s="484"/>
      <c r="D123" s="1840"/>
      <c r="E123" s="1840"/>
      <c r="F123" s="1840"/>
      <c r="I123" s="490"/>
    </row>
    <row r="124" spans="1:9" ht="14.25">
      <c r="A124" s="484"/>
      <c r="B124" s="484"/>
      <c r="D124" s="1840"/>
      <c r="E124" s="1840"/>
      <c r="F124" s="1840"/>
      <c r="I124" s="490"/>
    </row>
    <row r="125" spans="1:9" ht="14.25">
      <c r="A125" s="484"/>
      <c r="B125" s="484"/>
      <c r="D125" s="1840"/>
      <c r="E125" s="1840"/>
      <c r="F125" s="1840"/>
      <c r="I125" s="490"/>
    </row>
    <row r="126" spans="1:9" ht="14.25">
      <c r="A126" s="484"/>
      <c r="B126" s="484"/>
      <c r="D126" s="1840"/>
      <c r="E126" s="1840"/>
      <c r="F126" s="1840"/>
      <c r="I126" s="490"/>
    </row>
    <row r="127" spans="1:9">
      <c r="C127" s="402"/>
      <c r="D127" s="525"/>
      <c r="E127" s="525"/>
      <c r="F127" s="525"/>
      <c r="I127" s="490"/>
    </row>
    <row r="128" spans="1:9" ht="14.25">
      <c r="A128" s="484"/>
      <c r="B128" s="485" t="s">
        <v>2791</v>
      </c>
      <c r="C128" s="402"/>
      <c r="D128" s="1840" t="s">
        <v>2008</v>
      </c>
      <c r="E128" s="1840"/>
      <c r="F128" s="1840"/>
      <c r="I128" s="490"/>
    </row>
    <row r="129" spans="1:9" ht="14.25">
      <c r="A129" s="484"/>
      <c r="B129" s="484"/>
      <c r="C129" s="402"/>
      <c r="D129" s="1840"/>
      <c r="E129" s="1840"/>
      <c r="F129" s="1840"/>
      <c r="I129" s="490"/>
    </row>
    <row r="130" spans="1:9">
      <c r="I130" s="490"/>
    </row>
    <row r="131" spans="1:9" ht="14.25">
      <c r="A131" s="484"/>
      <c r="B131" s="485" t="s">
        <v>2792</v>
      </c>
      <c r="D131" s="1822" t="s">
        <v>1104</v>
      </c>
      <c r="E131" s="1822"/>
      <c r="F131" s="1822"/>
      <c r="I131" s="490"/>
    </row>
    <row r="132" spans="1:9">
      <c r="D132" s="1822"/>
      <c r="E132" s="1822"/>
      <c r="F132" s="1822"/>
      <c r="I132" s="490"/>
    </row>
    <row r="133" spans="1:9">
      <c r="D133" s="1822"/>
      <c r="E133" s="1822"/>
      <c r="F133" s="1822"/>
      <c r="I133" s="490"/>
    </row>
    <row r="134" spans="1:9">
      <c r="D134" s="1822"/>
      <c r="E134" s="1822"/>
      <c r="F134" s="1822"/>
      <c r="I134" s="490"/>
    </row>
    <row r="135" spans="1:9">
      <c r="D135" s="1822"/>
      <c r="E135" s="1822"/>
      <c r="F135" s="1822"/>
      <c r="I135" s="490"/>
    </row>
    <row r="136" spans="1:9">
      <c r="I136" s="490"/>
    </row>
    <row r="137" spans="1:9" ht="14.25">
      <c r="A137" s="484"/>
      <c r="B137" s="485" t="s">
        <v>2791</v>
      </c>
      <c r="D137" s="1822" t="s">
        <v>1105</v>
      </c>
      <c r="E137" s="1822"/>
      <c r="F137" s="1822"/>
      <c r="I137" s="490"/>
    </row>
    <row r="138" spans="1:9" s="417" customFormat="1" ht="13.7" customHeight="1">
      <c r="A138" s="488"/>
      <c r="B138" s="488"/>
      <c r="C138" s="488"/>
      <c r="D138" s="1822"/>
      <c r="E138" s="1822"/>
      <c r="F138" s="1822"/>
      <c r="I138" s="1149"/>
    </row>
    <row r="139" spans="1:9" ht="13.7" customHeight="1">
      <c r="D139" s="1822"/>
      <c r="E139" s="1822"/>
      <c r="F139" s="1822"/>
      <c r="I139" s="490"/>
    </row>
    <row r="140" spans="1:9" ht="13.7" customHeight="1">
      <c r="D140" s="1822"/>
      <c r="E140" s="1822"/>
      <c r="F140" s="1822"/>
      <c r="I140" s="490"/>
    </row>
    <row r="141" spans="1:9" ht="13.7" customHeight="1">
      <c r="D141" s="1822"/>
      <c r="E141" s="1822"/>
      <c r="F141" s="1822"/>
      <c r="I141" s="490"/>
    </row>
    <row r="142" spans="1:9" ht="13.7" customHeight="1">
      <c r="A142" s="489"/>
      <c r="B142" s="489"/>
      <c r="D142" s="1822"/>
      <c r="E142" s="1822"/>
      <c r="F142" s="1822"/>
      <c r="I142" s="490"/>
    </row>
    <row r="143" spans="1:9" ht="13.7" customHeight="1">
      <c r="D143" s="1822"/>
      <c r="E143" s="1822"/>
      <c r="F143" s="1822"/>
      <c r="I143" s="490"/>
    </row>
    <row r="144" spans="1:9" ht="13.7" customHeight="1">
      <c r="D144" s="1822"/>
      <c r="E144" s="1822"/>
      <c r="F144" s="1822"/>
      <c r="I144" s="490"/>
    </row>
    <row r="145" spans="2:9" ht="13.7" customHeight="1">
      <c r="D145" s="1822"/>
      <c r="E145" s="1822"/>
      <c r="F145" s="1822"/>
      <c r="I145" s="490"/>
    </row>
    <row r="146" spans="2:9" ht="13.7" customHeight="1">
      <c r="D146" s="1822"/>
      <c r="E146" s="1822"/>
      <c r="F146" s="1822"/>
      <c r="I146" s="490"/>
    </row>
    <row r="147" spans="2:9" ht="13.7" customHeight="1">
      <c r="D147" s="1822"/>
      <c r="E147" s="1822"/>
      <c r="F147" s="1822"/>
      <c r="I147" s="490"/>
    </row>
    <row r="148" spans="2:9" ht="13.7" customHeight="1">
      <c r="D148" s="1822"/>
      <c r="E148" s="1822"/>
      <c r="F148" s="1822"/>
      <c r="I148" s="490"/>
    </row>
    <row r="149" spans="2:9" ht="13.7" customHeight="1">
      <c r="D149" s="1822"/>
      <c r="E149" s="1822"/>
      <c r="F149" s="1822"/>
      <c r="I149" s="490"/>
    </row>
    <row r="150" spans="2:9" ht="13.7" customHeight="1">
      <c r="D150" s="476"/>
      <c r="E150" s="446"/>
      <c r="F150" s="446"/>
      <c r="I150" s="490"/>
    </row>
    <row r="151" spans="2:9" ht="13.7" customHeight="1">
      <c r="B151" s="485" t="s">
        <v>2792</v>
      </c>
      <c r="D151" s="1822" t="s">
        <v>1177</v>
      </c>
      <c r="E151" s="1822"/>
      <c r="F151" s="1822"/>
      <c r="I151" s="490"/>
    </row>
    <row r="152" spans="2:9" ht="13.7" customHeight="1">
      <c r="D152" s="1822"/>
      <c r="E152" s="1822"/>
      <c r="F152" s="1822"/>
      <c r="I152" s="490"/>
    </row>
    <row r="153" spans="2:9" ht="13.7" customHeight="1">
      <c r="D153" s="1822"/>
      <c r="E153" s="1822"/>
      <c r="F153" s="1822"/>
      <c r="I153" s="490"/>
    </row>
    <row r="154" spans="2:9" ht="13.7" customHeight="1">
      <c r="D154" s="1822"/>
      <c r="E154" s="1822"/>
      <c r="F154" s="1822"/>
      <c r="I154" s="490"/>
    </row>
    <row r="155" spans="2:9" ht="13.7" customHeight="1">
      <c r="D155" s="1822"/>
      <c r="E155" s="1822"/>
      <c r="F155" s="1822"/>
      <c r="I155" s="490"/>
    </row>
    <row r="156" spans="2:9" ht="13.7" customHeight="1">
      <c r="D156" s="1822"/>
      <c r="E156" s="1822"/>
      <c r="F156" s="1822"/>
      <c r="I156" s="490"/>
    </row>
    <row r="157" spans="2:9" ht="13.7" customHeight="1">
      <c r="D157" s="1822"/>
      <c r="E157" s="1822"/>
      <c r="F157" s="1822"/>
      <c r="I157" s="490"/>
    </row>
    <row r="158" spans="2:9" ht="13.7" customHeight="1">
      <c r="D158" s="1822"/>
      <c r="E158" s="1822"/>
      <c r="F158" s="1822"/>
      <c r="I158" s="490"/>
    </row>
    <row r="159" spans="2:9" ht="13.7" customHeight="1">
      <c r="D159" s="1822"/>
      <c r="E159" s="1822"/>
      <c r="F159" s="1822"/>
      <c r="I159" s="490"/>
    </row>
    <row r="160" spans="2:9" ht="13.7" customHeight="1">
      <c r="D160" s="1822"/>
      <c r="E160" s="1822"/>
      <c r="F160" s="1822"/>
      <c r="I160" s="490"/>
    </row>
    <row r="161" spans="1:9" ht="13.7" customHeight="1">
      <c r="D161" s="1822"/>
      <c r="E161" s="1822"/>
      <c r="F161" s="1822"/>
      <c r="I161" s="490"/>
    </row>
    <row r="162" spans="1:9" ht="13.7" customHeight="1">
      <c r="D162" s="1822"/>
      <c r="E162" s="1822"/>
      <c r="F162" s="1822"/>
      <c r="I162" s="490"/>
    </row>
    <row r="163" spans="1:9" ht="13.7" customHeight="1">
      <c r="D163" s="1822"/>
      <c r="E163" s="1822"/>
      <c r="F163" s="1822"/>
      <c r="I163" s="490"/>
    </row>
    <row r="164" spans="1:9" ht="13.7" customHeight="1">
      <c r="D164" s="1822"/>
      <c r="E164" s="1822"/>
      <c r="F164" s="1822"/>
      <c r="I164" s="490"/>
    </row>
    <row r="165" spans="1:9" ht="13.7" customHeight="1">
      <c r="D165" s="1822"/>
      <c r="E165" s="1822"/>
      <c r="F165" s="1822"/>
      <c r="I165" s="490"/>
    </row>
    <row r="166" spans="1:9" ht="13.7" customHeight="1">
      <c r="D166" s="1822"/>
      <c r="E166" s="1822"/>
      <c r="F166" s="1822"/>
      <c r="I166" s="490"/>
    </row>
    <row r="167" spans="1:9" ht="13.7" customHeight="1">
      <c r="D167" s="1822"/>
      <c r="E167" s="1822"/>
      <c r="F167" s="1822"/>
      <c r="I167" s="490"/>
    </row>
    <row r="168" spans="1:9" ht="13.7" customHeight="1">
      <c r="D168" s="1822"/>
      <c r="E168" s="1822"/>
      <c r="F168" s="1822"/>
      <c r="I168" s="490"/>
    </row>
    <row r="169" spans="1:9" ht="13.7" customHeight="1">
      <c r="D169" s="1841" t="s">
        <v>2030</v>
      </c>
      <c r="E169" s="1841"/>
      <c r="F169" s="1841"/>
      <c r="G169" s="507"/>
      <c r="I169" s="490"/>
    </row>
    <row r="170" spans="1:9" ht="13.7" customHeight="1">
      <c r="D170" s="1836"/>
      <c r="E170" s="1836"/>
      <c r="F170" s="1836"/>
      <c r="G170" s="1836"/>
      <c r="I170" s="490"/>
    </row>
    <row r="171" spans="1:9" ht="14.45" customHeight="1">
      <c r="A171" s="489"/>
      <c r="B171" s="485" t="s">
        <v>2792</v>
      </c>
      <c r="C171" s="476"/>
      <c r="D171" s="1803" t="s">
        <v>2166</v>
      </c>
      <c r="E171" s="1803"/>
      <c r="F171" s="1803"/>
      <c r="G171" s="476"/>
      <c r="I171" s="490"/>
    </row>
    <row r="172" spans="1:9" ht="14.45" customHeight="1">
      <c r="A172" s="489"/>
      <c r="B172" s="489"/>
      <c r="C172" s="476"/>
      <c r="D172" s="1803"/>
      <c r="E172" s="1803"/>
      <c r="F172" s="1803"/>
      <c r="G172" s="476"/>
      <c r="I172" s="490"/>
    </row>
    <row r="173" spans="1:9" ht="14.45" customHeight="1">
      <c r="A173" s="489"/>
      <c r="B173" s="489"/>
      <c r="C173" s="476"/>
      <c r="D173" s="1803"/>
      <c r="E173" s="1803"/>
      <c r="F173" s="1803"/>
      <c r="G173" s="476"/>
      <c r="I173" s="490"/>
    </row>
    <row r="174" spans="1:9" ht="14.45" customHeight="1">
      <c r="A174" s="489"/>
      <c r="B174" s="489"/>
      <c r="C174" s="476"/>
      <c r="D174" s="1803"/>
      <c r="E174" s="1803"/>
      <c r="F174" s="1803"/>
      <c r="G174" s="476"/>
      <c r="I174" s="490"/>
    </row>
    <row r="175" spans="1:9" ht="13.7" customHeight="1">
      <c r="A175" s="489"/>
      <c r="B175" s="489"/>
      <c r="C175" s="476"/>
      <c r="D175" s="1803"/>
      <c r="E175" s="1803"/>
      <c r="F175" s="1803"/>
      <c r="G175" s="476"/>
      <c r="I175" s="490"/>
    </row>
    <row r="176" spans="1:9" ht="13.7" customHeight="1">
      <c r="A176" s="489"/>
      <c r="B176" s="489"/>
      <c r="C176" s="476"/>
      <c r="D176" s="476"/>
      <c r="E176" s="476"/>
      <c r="F176" s="476"/>
      <c r="G176" s="476"/>
      <c r="I176" s="490"/>
    </row>
    <row r="177" spans="1:9" ht="13.7" customHeight="1">
      <c r="A177" s="489"/>
      <c r="B177" s="485" t="s">
        <v>2792</v>
      </c>
      <c r="C177" s="476"/>
      <c r="D177" s="1803" t="s">
        <v>1106</v>
      </c>
      <c r="E177" s="1803"/>
      <c r="F177" s="1803"/>
      <c r="G177" s="476"/>
      <c r="I177" s="490"/>
    </row>
    <row r="178" spans="1:9" ht="13.7" customHeight="1">
      <c r="A178" s="489"/>
      <c r="B178" s="489"/>
      <c r="C178" s="476"/>
      <c r="D178" s="1803"/>
      <c r="E178" s="1803"/>
      <c r="F178" s="1803"/>
      <c r="G178" s="476"/>
      <c r="I178" s="490"/>
    </row>
    <row r="179" spans="1:9" ht="13.7" customHeight="1">
      <c r="A179" s="489"/>
      <c r="B179" s="489"/>
      <c r="C179" s="476"/>
      <c r="D179" s="1803"/>
      <c r="E179" s="1803"/>
      <c r="F179" s="1803"/>
      <c r="G179" s="476"/>
      <c r="I179" s="490"/>
    </row>
    <row r="180" spans="1:9" ht="13.7" customHeight="1">
      <c r="A180" s="489"/>
      <c r="B180" s="489"/>
      <c r="C180" s="476"/>
      <c r="D180" s="1803"/>
      <c r="E180" s="1803"/>
      <c r="F180" s="1803"/>
      <c r="G180" s="476"/>
      <c r="I180" s="490"/>
    </row>
    <row r="181" spans="1:9" ht="13.7" customHeight="1">
      <c r="D181" s="446"/>
      <c r="E181" s="446"/>
      <c r="F181" s="446"/>
      <c r="I181" s="490"/>
    </row>
    <row r="182" spans="1:9" ht="13.7" hidden="1" customHeight="1">
      <c r="B182" s="485" t="s">
        <v>307</v>
      </c>
      <c r="D182" s="1826" t="s">
        <v>2009</v>
      </c>
      <c r="E182" s="1826"/>
      <c r="F182" s="1826"/>
      <c r="I182" s="490"/>
    </row>
    <row r="183" spans="1:9" ht="13.7" hidden="1" customHeight="1">
      <c r="D183" s="1826"/>
      <c r="E183" s="1826"/>
      <c r="F183" s="1826"/>
      <c r="I183" s="490"/>
    </row>
    <row r="184" spans="1:9" ht="13.7" hidden="1" customHeight="1">
      <c r="D184" s="1826"/>
      <c r="E184" s="1826"/>
      <c r="F184" s="1826"/>
      <c r="I184" s="490"/>
    </row>
    <row r="185" spans="1:9" ht="13.7" customHeight="1">
      <c r="A185" s="490"/>
      <c r="B185" s="490"/>
      <c r="E185" s="446"/>
      <c r="F185" s="446"/>
      <c r="I185" s="490"/>
    </row>
    <row r="186" spans="1:9">
      <c r="A186" s="1825" t="s">
        <v>2010</v>
      </c>
      <c r="B186" s="1825"/>
      <c r="C186" s="1825"/>
      <c r="D186" s="1825"/>
      <c r="E186" s="1825"/>
      <c r="F186" s="1825"/>
      <c r="G186" s="1825"/>
      <c r="H186" s="1023"/>
      <c r="I186" s="1147"/>
    </row>
    <row r="187" spans="1:9" ht="12" customHeight="1">
      <c r="D187" s="446"/>
      <c r="E187" s="446"/>
      <c r="F187" s="446"/>
      <c r="I187" s="490"/>
    </row>
    <row r="188" spans="1:9">
      <c r="B188" s="1829" t="s">
        <v>446</v>
      </c>
      <c r="C188" s="1829"/>
      <c r="D188" s="1829"/>
      <c r="E188" s="1829"/>
      <c r="F188" s="1829"/>
      <c r="I188" s="490"/>
    </row>
    <row r="189" spans="1:9">
      <c r="B189" s="392" t="s">
        <v>1848</v>
      </c>
      <c r="C189" s="392"/>
      <c r="D189" s="392"/>
      <c r="E189" s="392"/>
      <c r="F189" s="392"/>
      <c r="I189" s="490"/>
    </row>
    <row r="190" spans="1:9" ht="12" customHeight="1">
      <c r="A190" s="482"/>
      <c r="B190" s="482"/>
      <c r="C190" s="482"/>
      <c r="I190" s="490"/>
    </row>
    <row r="191" spans="1:9">
      <c r="A191" s="1825" t="s">
        <v>1045</v>
      </c>
      <c r="B191" s="1825"/>
      <c r="C191" s="1825"/>
      <c r="D191" s="1825"/>
      <c r="E191" s="1825"/>
      <c r="F191" s="1825"/>
      <c r="G191" s="1825"/>
      <c r="H191" s="1023"/>
      <c r="I191" s="1147"/>
    </row>
    <row r="192" spans="1:9" ht="12" customHeight="1">
      <c r="A192" s="404"/>
      <c r="B192" s="404"/>
      <c r="E192" s="404"/>
      <c r="I192" s="490"/>
    </row>
    <row r="193" spans="1:9" ht="13.7" customHeight="1">
      <c r="A193" s="404"/>
      <c r="B193" s="404"/>
      <c r="D193" s="1824" t="s">
        <v>1734</v>
      </c>
      <c r="E193" s="1824"/>
      <c r="F193" s="1824"/>
      <c r="I193" s="490"/>
    </row>
    <row r="194" spans="1:9">
      <c r="A194" s="404"/>
      <c r="B194" s="404"/>
      <c r="D194" s="1824"/>
      <c r="E194" s="1824"/>
      <c r="F194" s="1824"/>
      <c r="I194" s="490"/>
    </row>
    <row r="195" spans="1:9">
      <c r="A195" s="404"/>
      <c r="B195" s="404"/>
      <c r="D195" s="1829" t="s">
        <v>1195</v>
      </c>
      <c r="E195" s="1829"/>
      <c r="F195" s="1829"/>
      <c r="I195" s="490"/>
    </row>
    <row r="196" spans="1:9">
      <c r="A196" s="404"/>
      <c r="B196" s="404"/>
      <c r="D196" s="392"/>
      <c r="E196" s="392"/>
      <c r="F196" s="392"/>
      <c r="I196" s="490"/>
    </row>
    <row r="197" spans="1:9">
      <c r="A197" s="404"/>
      <c r="B197" s="485" t="s">
        <v>2792</v>
      </c>
      <c r="D197" s="1837" t="s">
        <v>1735</v>
      </c>
      <c r="E197" s="1837"/>
      <c r="F197" s="1837"/>
      <c r="I197" s="490"/>
    </row>
    <row r="198" spans="1:9">
      <c r="A198" s="404"/>
      <c r="B198" s="404"/>
      <c r="D198" s="1838" t="s">
        <v>1874</v>
      </c>
      <c r="E198" s="1838"/>
      <c r="F198" s="1838"/>
      <c r="I198" s="490"/>
    </row>
    <row r="199" spans="1:9">
      <c r="A199" s="404"/>
      <c r="B199" s="404"/>
      <c r="D199" s="96" t="s">
        <v>1736</v>
      </c>
      <c r="E199" s="1839" t="s">
        <v>1897</v>
      </c>
      <c r="F199" s="1839"/>
      <c r="I199" s="490"/>
    </row>
    <row r="200" spans="1:9">
      <c r="A200" s="404"/>
      <c r="B200" s="404"/>
      <c r="D200" s="3"/>
      <c r="E200" s="3"/>
      <c r="F200" s="3"/>
      <c r="I200" s="490"/>
    </row>
    <row r="201" spans="1:9">
      <c r="A201" s="404"/>
      <c r="B201" s="485" t="s">
        <v>2792</v>
      </c>
      <c r="D201" s="1838" t="s">
        <v>1737</v>
      </c>
      <c r="E201" s="1838"/>
      <c r="F201" s="1838"/>
      <c r="I201" s="490"/>
    </row>
    <row r="202" spans="1:9">
      <c r="A202" s="404"/>
      <c r="B202" s="404"/>
      <c r="D202" s="1837" t="s">
        <v>1874</v>
      </c>
      <c r="E202" s="1837"/>
      <c r="F202" s="1837"/>
      <c r="I202" s="490"/>
    </row>
    <row r="203" spans="1:9">
      <c r="A203" s="404"/>
      <c r="B203" s="404"/>
      <c r="D203" s="57" t="s">
        <v>1738</v>
      </c>
      <c r="E203" s="1839" t="s">
        <v>1898</v>
      </c>
      <c r="F203" s="1839"/>
      <c r="I203" s="490"/>
    </row>
    <row r="204" spans="1:9">
      <c r="A204" s="404"/>
      <c r="B204" s="404"/>
      <c r="D204" s="3"/>
      <c r="E204" s="3"/>
      <c r="F204" s="3"/>
      <c r="I204" s="490"/>
    </row>
    <row r="205" spans="1:9">
      <c r="A205" s="404"/>
      <c r="B205" s="485" t="s">
        <v>2792</v>
      </c>
      <c r="D205" s="1838" t="s">
        <v>1739</v>
      </c>
      <c r="E205" s="1838"/>
      <c r="F205" s="1838"/>
      <c r="I205" s="490"/>
    </row>
    <row r="206" spans="1:9">
      <c r="A206" s="404"/>
      <c r="B206" s="404"/>
      <c r="D206" s="1837" t="s">
        <v>1874</v>
      </c>
      <c r="E206" s="1837"/>
      <c r="F206" s="1837"/>
      <c r="I206" s="490"/>
    </row>
    <row r="207" spans="1:9">
      <c r="A207" s="404"/>
      <c r="B207" s="404"/>
      <c r="D207" s="57" t="s">
        <v>1736</v>
      </c>
      <c r="E207" s="1839" t="s">
        <v>1899</v>
      </c>
      <c r="F207" s="1839"/>
      <c r="I207" s="490"/>
    </row>
    <row r="208" spans="1:9">
      <c r="A208" s="404"/>
      <c r="B208" s="404"/>
      <c r="D208" s="392"/>
      <c r="E208" s="392"/>
      <c r="F208" s="392"/>
      <c r="I208" s="490"/>
    </row>
    <row r="209" spans="1:9" ht="14.25" customHeight="1">
      <c r="A209" s="484"/>
      <c r="B209" s="485" t="s">
        <v>2792</v>
      </c>
      <c r="D209" s="386" t="s">
        <v>1867</v>
      </c>
      <c r="E209" s="385"/>
      <c r="F209" s="385"/>
      <c r="I209" s="490"/>
    </row>
    <row r="210" spans="1:9" ht="14.25">
      <c r="A210" s="484"/>
      <c r="B210" s="484"/>
      <c r="D210" s="1837" t="s">
        <v>1874</v>
      </c>
      <c r="E210" s="1837"/>
      <c r="F210" s="1837"/>
      <c r="I210" s="490"/>
    </row>
    <row r="211" spans="1:9">
      <c r="D211" s="385"/>
      <c r="E211" s="1839" t="s">
        <v>1900</v>
      </c>
      <c r="F211" s="1839"/>
      <c r="I211" s="490"/>
    </row>
    <row r="212" spans="1:9">
      <c r="D212" s="447"/>
      <c r="I212" s="490"/>
    </row>
    <row r="213" spans="1:9">
      <c r="B213" s="485" t="s">
        <v>2792</v>
      </c>
      <c r="D213" s="1838" t="s">
        <v>1740</v>
      </c>
      <c r="E213" s="1838"/>
      <c r="F213" s="1838"/>
      <c r="I213" s="490"/>
    </row>
    <row r="214" spans="1:9">
      <c r="D214" s="1837" t="s">
        <v>1874</v>
      </c>
      <c r="E214" s="1837"/>
      <c r="F214" s="1837"/>
      <c r="I214" s="490"/>
    </row>
    <row r="215" spans="1:9">
      <c r="D215" s="57" t="s">
        <v>1736</v>
      </c>
      <c r="E215" s="1839" t="s">
        <v>1901</v>
      </c>
      <c r="F215" s="1839"/>
      <c r="I215" s="490"/>
    </row>
    <row r="216" spans="1:9">
      <c r="D216" s="451"/>
      <c r="E216" s="451"/>
      <c r="F216" s="451"/>
      <c r="I216" s="490"/>
    </row>
    <row r="217" spans="1:9" ht="14.25">
      <c r="A217" s="484"/>
      <c r="B217" s="485" t="s">
        <v>2792</v>
      </c>
      <c r="D217" s="1822" t="s">
        <v>1216</v>
      </c>
      <c r="E217" s="1822"/>
      <c r="F217" s="1822"/>
      <c r="I217" s="490"/>
    </row>
    <row r="218" spans="1:9" ht="14.45" customHeight="1">
      <c r="A218" s="484"/>
      <c r="B218" s="402"/>
      <c r="D218" s="1822"/>
      <c r="E218" s="1822"/>
      <c r="F218" s="1822"/>
      <c r="I218" s="490"/>
    </row>
    <row r="219" spans="1:9" ht="14.25">
      <c r="A219" s="484"/>
      <c r="D219" s="1822"/>
      <c r="E219" s="1822"/>
      <c r="F219" s="1822"/>
      <c r="I219" s="490"/>
    </row>
    <row r="220" spans="1:9" ht="14.25">
      <c r="A220" s="484"/>
      <c r="D220" s="1822"/>
      <c r="E220" s="1822"/>
      <c r="F220" s="1822"/>
      <c r="I220" s="490"/>
    </row>
    <row r="221" spans="1:9">
      <c r="D221" s="451"/>
      <c r="E221" s="451"/>
      <c r="F221" s="451"/>
      <c r="I221" s="490"/>
    </row>
    <row r="222" spans="1:9">
      <c r="A222" s="1825" t="s">
        <v>1046</v>
      </c>
      <c r="B222" s="1825"/>
      <c r="C222" s="1825"/>
      <c r="D222" s="1825"/>
      <c r="E222" s="1825"/>
      <c r="F222" s="1825"/>
      <c r="G222" s="1825"/>
      <c r="H222" s="1023"/>
      <c r="I222" s="1147"/>
    </row>
    <row r="223" spans="1:9" ht="12" customHeight="1">
      <c r="D223" s="446"/>
      <c r="E223" s="446"/>
      <c r="F223" s="446"/>
      <c r="I223" s="490"/>
    </row>
    <row r="224" spans="1:9">
      <c r="C224" s="486"/>
      <c r="D224" s="1831" t="s">
        <v>208</v>
      </c>
      <c r="E224" s="1831"/>
      <c r="F224" s="1831"/>
      <c r="I224" s="490"/>
    </row>
    <row r="225" spans="1:9">
      <c r="A225" s="482"/>
      <c r="B225" s="482"/>
      <c r="C225" s="482"/>
      <c r="D225" s="1823" t="s">
        <v>1120</v>
      </c>
      <c r="E225" s="1823"/>
      <c r="F225" s="1823"/>
      <c r="I225" s="490"/>
    </row>
    <row r="226" spans="1:9" ht="12" customHeight="1">
      <c r="A226" s="490"/>
      <c r="B226" s="490"/>
      <c r="C226" s="490"/>
      <c r="I226" s="490"/>
    </row>
    <row r="227" spans="1:9" ht="13.7" customHeight="1">
      <c r="A227" s="490"/>
      <c r="C227" s="490"/>
      <c r="D227" s="1831" t="s">
        <v>546</v>
      </c>
      <c r="E227" s="1831"/>
      <c r="F227" s="1831"/>
      <c r="I227" s="490"/>
    </row>
    <row r="228" spans="1:9" ht="14.25">
      <c r="A228" s="484"/>
      <c r="B228" s="485" t="s">
        <v>2791</v>
      </c>
      <c r="D228" s="1822" t="s">
        <v>1741</v>
      </c>
      <c r="E228" s="1822"/>
      <c r="F228" s="1822"/>
      <c r="I228" s="490"/>
    </row>
    <row r="229" spans="1:9" ht="14.25" customHeight="1">
      <c r="A229" s="484"/>
      <c r="B229" s="484"/>
      <c r="D229" s="1822"/>
      <c r="E229" s="1822"/>
      <c r="F229" s="1822"/>
      <c r="I229" s="490"/>
    </row>
    <row r="230" spans="1:9" ht="14.25" customHeight="1">
      <c r="A230" s="484"/>
      <c r="B230" s="484"/>
      <c r="D230" s="1822"/>
      <c r="E230" s="1822"/>
      <c r="F230" s="1822"/>
      <c r="I230" s="490"/>
    </row>
    <row r="231" spans="1:9" ht="14.25">
      <c r="A231" s="484"/>
      <c r="B231" s="484"/>
      <c r="D231" s="1822"/>
      <c r="E231" s="1822"/>
      <c r="F231" s="1822"/>
      <c r="I231" s="490"/>
    </row>
    <row r="232" spans="1:9" ht="14.25">
      <c r="A232" s="484"/>
      <c r="B232" s="484"/>
      <c r="D232" s="445"/>
      <c r="E232" s="445"/>
      <c r="F232" s="445"/>
      <c r="I232" s="490"/>
    </row>
    <row r="233" spans="1:9" ht="14.25">
      <c r="A233" s="484"/>
      <c r="B233" s="485" t="s">
        <v>2791</v>
      </c>
      <c r="D233" s="1822" t="s">
        <v>1742</v>
      </c>
      <c r="E233" s="1822"/>
      <c r="F233" s="1822"/>
      <c r="I233" s="490"/>
    </row>
    <row r="234" spans="1:9" ht="14.25">
      <c r="A234" s="484"/>
      <c r="B234" s="484"/>
      <c r="D234" s="1822"/>
      <c r="E234" s="1822"/>
      <c r="F234" s="1822"/>
      <c r="I234" s="490"/>
    </row>
    <row r="235" spans="1:9" ht="14.25">
      <c r="A235" s="484"/>
      <c r="B235" s="484"/>
      <c r="D235" s="1822"/>
      <c r="E235" s="1822"/>
      <c r="F235" s="1822"/>
      <c r="I235" s="490"/>
    </row>
    <row r="236" spans="1:9" ht="14.25">
      <c r="A236" s="484"/>
      <c r="B236" s="484"/>
      <c r="D236" s="1822"/>
      <c r="E236" s="1822"/>
      <c r="F236" s="1822"/>
      <c r="I236" s="490"/>
    </row>
    <row r="237" spans="1:9" ht="14.25" customHeight="1">
      <c r="A237" s="484"/>
      <c r="B237" s="484"/>
      <c r="D237" s="1822"/>
      <c r="E237" s="1822"/>
      <c r="F237" s="1822"/>
      <c r="I237" s="490"/>
    </row>
    <row r="238" spans="1:9" ht="14.25" customHeight="1">
      <c r="A238" s="484"/>
      <c r="B238" s="484"/>
      <c r="D238" s="445"/>
      <c r="E238" s="445"/>
      <c r="F238" s="445"/>
      <c r="I238" s="490"/>
    </row>
    <row r="239" spans="1:9" ht="14.25">
      <c r="A239" s="484"/>
      <c r="B239" s="484"/>
      <c r="D239" s="1822" t="s">
        <v>1118</v>
      </c>
      <c r="E239" s="1822"/>
      <c r="F239" s="1822"/>
      <c r="I239" s="490"/>
    </row>
    <row r="240" spans="1:9" ht="14.25">
      <c r="A240" s="484"/>
      <c r="B240" s="484"/>
      <c r="D240" s="1822"/>
      <c r="E240" s="1822"/>
      <c r="F240" s="1822"/>
      <c r="I240" s="490"/>
    </row>
    <row r="241" spans="1:9" ht="14.25">
      <c r="A241" s="484"/>
      <c r="B241" s="484"/>
      <c r="D241" s="1822"/>
      <c r="E241" s="1822"/>
      <c r="F241" s="1822"/>
      <c r="I241" s="490"/>
    </row>
    <row r="242" spans="1:9" ht="14.25">
      <c r="A242" s="484"/>
      <c r="B242" s="484"/>
      <c r="D242" s="1822"/>
      <c r="E242" s="1822"/>
      <c r="F242" s="1822"/>
      <c r="I242" s="490"/>
    </row>
    <row r="243" spans="1:9" ht="14.25">
      <c r="A243" s="484"/>
      <c r="B243" s="484"/>
      <c r="D243" s="1822"/>
      <c r="E243" s="1822"/>
      <c r="F243" s="1822"/>
      <c r="I243" s="490"/>
    </row>
    <row r="244" spans="1:9" ht="14.25">
      <c r="A244" s="484"/>
      <c r="B244" s="484"/>
      <c r="D244" s="446"/>
      <c r="E244" s="446"/>
      <c r="F244" s="446"/>
      <c r="I244" s="490"/>
    </row>
    <row r="245" spans="1:9" ht="14.25">
      <c r="A245" s="484"/>
      <c r="B245" s="485" t="s">
        <v>2791</v>
      </c>
      <c r="D245" s="1822" t="s">
        <v>2011</v>
      </c>
      <c r="E245" s="1822"/>
      <c r="F245" s="1822"/>
      <c r="I245" s="490"/>
    </row>
    <row r="246" spans="1:9" ht="14.25">
      <c r="A246" s="484"/>
      <c r="B246" s="484"/>
      <c r="D246" s="1822"/>
      <c r="E246" s="1822"/>
      <c r="F246" s="1822"/>
      <c r="I246" s="490"/>
    </row>
    <row r="247" spans="1:9" ht="14.25">
      <c r="A247" s="484"/>
      <c r="B247" s="484"/>
      <c r="D247" s="1822"/>
      <c r="E247" s="1822"/>
      <c r="F247" s="1822"/>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2792</v>
      </c>
      <c r="D250" s="1822" t="s">
        <v>2012</v>
      </c>
      <c r="E250" s="1822"/>
      <c r="F250" s="1822"/>
      <c r="I250" s="490"/>
    </row>
    <row r="251" spans="1:9" ht="14.25">
      <c r="A251" s="484"/>
      <c r="B251" s="484"/>
      <c r="D251" s="1822"/>
      <c r="E251" s="1822"/>
      <c r="F251" s="1822"/>
      <c r="I251" s="490"/>
    </row>
    <row r="252" spans="1:9" ht="14.25">
      <c r="A252" s="484"/>
      <c r="B252" s="484"/>
      <c r="D252" s="1822"/>
      <c r="E252" s="1822"/>
      <c r="F252" s="1822"/>
      <c r="I252" s="490"/>
    </row>
    <row r="253" spans="1:9" ht="14.25">
      <c r="A253" s="484"/>
      <c r="B253" s="484"/>
      <c r="D253" s="1822"/>
      <c r="E253" s="1822"/>
      <c r="F253" s="1822"/>
      <c r="I253" s="490"/>
    </row>
    <row r="254" spans="1:9" ht="14.25">
      <c r="A254" s="484"/>
      <c r="B254" s="484"/>
      <c r="D254" s="1822"/>
      <c r="E254" s="1822"/>
      <c r="F254" s="1822"/>
      <c r="I254" s="490"/>
    </row>
    <row r="255" spans="1:9" ht="14.25">
      <c r="A255" s="484"/>
      <c r="B255" s="484"/>
      <c r="D255" s="445"/>
      <c r="E255" s="445"/>
      <c r="F255" s="445"/>
      <c r="I255" s="490"/>
    </row>
    <row r="256" spans="1:9" ht="14.25">
      <c r="A256" s="484"/>
      <c r="B256" s="485" t="s">
        <v>2791</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2791</v>
      </c>
      <c r="D259" s="1822" t="s">
        <v>1119</v>
      </c>
      <c r="E259" s="1822"/>
      <c r="F259" s="1822"/>
      <c r="I259" s="490"/>
    </row>
    <row r="260" spans="1:9" ht="14.25">
      <c r="A260" s="484"/>
      <c r="B260" s="484"/>
      <c r="D260" s="1822"/>
      <c r="E260" s="1822"/>
      <c r="F260" s="1822"/>
      <c r="I260" s="490"/>
    </row>
    <row r="261" spans="1:9">
      <c r="D261" s="491"/>
      <c r="I261" s="490"/>
    </row>
    <row r="262" spans="1:9">
      <c r="A262" s="1825" t="s">
        <v>1047</v>
      </c>
      <c r="B262" s="1825"/>
      <c r="C262" s="1825"/>
      <c r="D262" s="1825"/>
      <c r="E262" s="1825"/>
      <c r="F262" s="1825"/>
      <c r="G262" s="1825"/>
      <c r="H262" s="1023"/>
      <c r="I262" s="1147"/>
    </row>
    <row r="263" spans="1:9">
      <c r="D263" s="491"/>
      <c r="I263" s="490"/>
    </row>
    <row r="264" spans="1:9">
      <c r="C264" s="486"/>
      <c r="D264" s="1831" t="s">
        <v>1121</v>
      </c>
      <c r="E264" s="1831"/>
      <c r="F264" s="1831"/>
      <c r="I264" s="490"/>
    </row>
    <row r="265" spans="1:9">
      <c r="A265" s="482"/>
      <c r="B265" s="482"/>
      <c r="C265" s="482"/>
      <c r="D265" s="446"/>
      <c r="E265" s="446"/>
      <c r="F265" s="446"/>
      <c r="I265" s="490"/>
    </row>
    <row r="266" spans="1:9">
      <c r="A266" s="483"/>
      <c r="B266" s="483"/>
      <c r="C266" s="483"/>
      <c r="D266" s="1831" t="s">
        <v>269</v>
      </c>
      <c r="E266" s="1831"/>
      <c r="F266" s="1831"/>
      <c r="I266" s="490"/>
    </row>
    <row r="267" spans="1:9" ht="14.45" customHeight="1">
      <c r="A267" s="484"/>
      <c r="B267" s="485" t="s">
        <v>2791</v>
      </c>
      <c r="D267" s="1822" t="s">
        <v>1196</v>
      </c>
      <c r="E267" s="1822"/>
      <c r="F267" s="1822"/>
      <c r="I267" s="490"/>
    </row>
    <row r="268" spans="1:9">
      <c r="D268" s="1822"/>
      <c r="E268" s="1822"/>
      <c r="F268" s="1822"/>
      <c r="I268" s="490"/>
    </row>
    <row r="269" spans="1:9">
      <c r="E269" s="1031" t="s">
        <v>1870</v>
      </c>
      <c r="I269" s="490"/>
    </row>
    <row r="270" spans="1:9">
      <c r="D270" s="446"/>
      <c r="E270" s="446"/>
      <c r="F270" s="446"/>
      <c r="I270" s="490"/>
    </row>
    <row r="271" spans="1:9" ht="14.45" customHeight="1">
      <c r="A271" s="484"/>
      <c r="B271" s="485" t="s">
        <v>2792</v>
      </c>
      <c r="D271" s="1822" t="s">
        <v>2014</v>
      </c>
      <c r="E271" s="1822"/>
      <c r="F271" s="1822"/>
      <c r="I271" s="490"/>
    </row>
    <row r="272" spans="1:9">
      <c r="D272" s="1822"/>
      <c r="E272" s="1822"/>
      <c r="F272" s="1822"/>
      <c r="I272" s="490"/>
    </row>
    <row r="273" spans="1:9">
      <c r="D273" s="1822"/>
      <c r="E273" s="1822"/>
      <c r="F273" s="1822"/>
      <c r="I273" s="490"/>
    </row>
    <row r="274" spans="1:9">
      <c r="D274" s="1822"/>
      <c r="E274" s="1822"/>
      <c r="F274" s="1822"/>
      <c r="I274" s="490"/>
    </row>
    <row r="275" spans="1:9">
      <c r="D275" s="1822"/>
      <c r="E275" s="1822"/>
      <c r="F275" s="1822"/>
      <c r="I275" s="490"/>
    </row>
    <row r="276" spans="1:9">
      <c r="D276" s="1822"/>
      <c r="E276" s="1822"/>
      <c r="F276" s="1822"/>
      <c r="I276" s="490"/>
    </row>
    <row r="277" spans="1:9">
      <c r="D277" s="446"/>
      <c r="E277" s="446"/>
      <c r="F277" s="446"/>
      <c r="I277" s="490"/>
    </row>
    <row r="278" spans="1:9" ht="14.25">
      <c r="A278" s="484"/>
      <c r="B278" s="485" t="s">
        <v>2792</v>
      </c>
      <c r="D278" s="1822" t="s">
        <v>1122</v>
      </c>
      <c r="E278" s="1822"/>
      <c r="F278" s="1822"/>
      <c r="I278" s="490"/>
    </row>
    <row r="279" spans="1:9">
      <c r="D279" s="1822"/>
      <c r="E279" s="1822"/>
      <c r="F279" s="1822"/>
      <c r="I279" s="490"/>
    </row>
    <row r="280" spans="1:9">
      <c r="D280" s="1822"/>
      <c r="E280" s="1822"/>
      <c r="F280" s="1822"/>
      <c r="I280" s="490"/>
    </row>
    <row r="281" spans="1:9">
      <c r="D281" s="492"/>
      <c r="E281" s="446"/>
      <c r="F281" s="446"/>
      <c r="I281" s="490"/>
    </row>
    <row r="282" spans="1:9">
      <c r="A282" s="1825" t="s">
        <v>1048</v>
      </c>
      <c r="B282" s="1825"/>
      <c r="C282" s="1825"/>
      <c r="D282" s="1825"/>
      <c r="E282" s="1825"/>
      <c r="F282" s="1825"/>
      <c r="G282" s="1825"/>
      <c r="H282" s="1023"/>
      <c r="I282" s="1147"/>
    </row>
    <row r="283" spans="1:9">
      <c r="D283" s="492"/>
      <c r="E283" s="446"/>
      <c r="F283" s="446"/>
      <c r="I283" s="490"/>
    </row>
    <row r="284" spans="1:9">
      <c r="C284" s="482"/>
      <c r="D284" s="1824" t="s">
        <v>1123</v>
      </c>
      <c r="E284" s="1824"/>
      <c r="F284" s="1824"/>
      <c r="I284" s="490"/>
    </row>
    <row r="285" spans="1:9">
      <c r="C285" s="482"/>
      <c r="D285" s="1824"/>
      <c r="E285" s="1824"/>
      <c r="F285" s="1824"/>
      <c r="I285" s="490"/>
    </row>
    <row r="286" spans="1:9">
      <c r="A286" s="483"/>
      <c r="B286" s="483"/>
      <c r="C286" s="483"/>
      <c r="D286" s="404"/>
      <c r="I286" s="490"/>
    </row>
    <row r="287" spans="1:9">
      <c r="C287" s="483"/>
      <c r="D287" s="1831" t="s">
        <v>209</v>
      </c>
      <c r="E287" s="1831"/>
      <c r="F287" s="1831"/>
      <c r="I287" s="490"/>
    </row>
    <row r="288" spans="1:9" ht="15.75" customHeight="1">
      <c r="A288" s="484"/>
      <c r="B288" s="484"/>
      <c r="D288" s="1834" t="s">
        <v>1124</v>
      </c>
      <c r="E288" s="1834"/>
      <c r="F288" s="1834"/>
      <c r="I288" s="490"/>
    </row>
    <row r="289" spans="1:9">
      <c r="E289" s="446"/>
      <c r="F289" s="446"/>
      <c r="I289" s="490"/>
    </row>
    <row r="290" spans="1:9" ht="14.25">
      <c r="A290" s="484"/>
      <c r="B290" s="485" t="s">
        <v>2791</v>
      </c>
      <c r="D290" s="1822" t="s">
        <v>1125</v>
      </c>
      <c r="E290" s="1822"/>
      <c r="F290" s="1822"/>
      <c r="I290" s="490"/>
    </row>
    <row r="291" spans="1:9" ht="14.25">
      <c r="A291" s="484"/>
      <c r="B291" s="484"/>
      <c r="D291" s="1822"/>
      <c r="E291" s="1822"/>
      <c r="F291" s="1822"/>
      <c r="I291" s="490"/>
    </row>
    <row r="292" spans="1:9">
      <c r="D292" s="446"/>
      <c r="E292" s="446"/>
      <c r="F292" s="446"/>
      <c r="I292" s="490"/>
    </row>
    <row r="293" spans="1:9" ht="14.25">
      <c r="A293" s="484"/>
      <c r="B293" s="485" t="s">
        <v>2791</v>
      </c>
      <c r="D293" s="1822" t="s">
        <v>1126</v>
      </c>
      <c r="E293" s="1822"/>
      <c r="F293" s="1822"/>
      <c r="I293" s="490"/>
    </row>
    <row r="294" spans="1:9" ht="14.25">
      <c r="A294" s="484"/>
      <c r="B294" s="484"/>
      <c r="D294" s="1822"/>
      <c r="E294" s="1822"/>
      <c r="F294" s="1822"/>
      <c r="I294" s="490"/>
    </row>
    <row r="295" spans="1:9" ht="14.25">
      <c r="A295" s="484"/>
      <c r="B295" s="484"/>
      <c r="D295" s="1822"/>
      <c r="E295" s="1822"/>
      <c r="F295" s="1822"/>
      <c r="I295" s="490"/>
    </row>
    <row r="296" spans="1:9">
      <c r="D296" s="446"/>
      <c r="E296" s="446"/>
      <c r="F296" s="446"/>
      <c r="I296" s="490"/>
    </row>
    <row r="297" spans="1:9" ht="14.25">
      <c r="A297" s="484"/>
      <c r="B297" s="485" t="s">
        <v>2792</v>
      </c>
      <c r="D297" s="1822" t="s">
        <v>1127</v>
      </c>
      <c r="E297" s="1822"/>
      <c r="F297" s="1822"/>
      <c r="I297" s="490"/>
    </row>
    <row r="298" spans="1:9" ht="14.25">
      <c r="A298" s="484"/>
      <c r="B298" s="484"/>
      <c r="D298" s="1822"/>
      <c r="E298" s="1822"/>
      <c r="F298" s="1822"/>
      <c r="I298" s="490"/>
    </row>
    <row r="299" spans="1:9">
      <c r="A299" s="490"/>
      <c r="B299" s="490"/>
      <c r="E299" s="446"/>
      <c r="F299" s="446"/>
      <c r="I299" s="490"/>
    </row>
    <row r="300" spans="1:9">
      <c r="A300" s="1825" t="s">
        <v>1049</v>
      </c>
      <c r="B300" s="1825"/>
      <c r="C300" s="1825"/>
      <c r="D300" s="1825"/>
      <c r="E300" s="1825"/>
      <c r="F300" s="1825"/>
      <c r="G300" s="1825"/>
      <c r="H300" s="1023"/>
      <c r="I300" s="1147"/>
    </row>
    <row r="301" spans="1:9">
      <c r="A301" s="490"/>
      <c r="B301" s="490"/>
      <c r="D301" s="446"/>
      <c r="E301" s="446"/>
      <c r="F301" s="446"/>
      <c r="I301" s="490"/>
    </row>
    <row r="302" spans="1:9">
      <c r="C302" s="490"/>
      <c r="D302" s="1831" t="s">
        <v>682</v>
      </c>
      <c r="E302" s="1831"/>
      <c r="F302" s="1831"/>
      <c r="I302" s="490"/>
    </row>
    <row r="303" spans="1:9">
      <c r="C303" s="490"/>
      <c r="D303" s="1823" t="s">
        <v>1128</v>
      </c>
      <c r="E303" s="1823"/>
      <c r="F303" s="1823"/>
      <c r="I303" s="490"/>
    </row>
    <row r="304" spans="1:9">
      <c r="C304" s="490"/>
      <c r="D304" s="493"/>
      <c r="I304" s="490"/>
    </row>
    <row r="305" spans="1:9">
      <c r="B305" s="485" t="s">
        <v>2791</v>
      </c>
      <c r="D305" s="1823" t="s">
        <v>1129</v>
      </c>
      <c r="E305" s="1823"/>
      <c r="F305" s="1823"/>
      <c r="I305" s="490"/>
    </row>
    <row r="306" spans="1:9" ht="14.25">
      <c r="A306" s="484"/>
      <c r="B306" s="484"/>
      <c r="D306" s="494"/>
      <c r="E306" s="495"/>
      <c r="F306" s="495"/>
      <c r="I306" s="490"/>
    </row>
    <row r="307" spans="1:9" ht="13.7" customHeight="1">
      <c r="B307" s="485" t="s">
        <v>2791</v>
      </c>
      <c r="D307" s="1846" t="s">
        <v>1219</v>
      </c>
      <c r="E307" s="1846"/>
      <c r="F307" s="1846"/>
      <c r="I307" s="490"/>
    </row>
    <row r="308" spans="1:9" ht="14.25">
      <c r="A308" s="484"/>
      <c r="B308" s="484"/>
      <c r="D308" s="1846"/>
      <c r="E308" s="1846"/>
      <c r="F308" s="1846"/>
      <c r="I308" s="490"/>
    </row>
    <row r="309" spans="1:9" ht="14.25">
      <c r="A309" s="484"/>
      <c r="B309" s="484"/>
      <c r="D309" s="1846"/>
      <c r="E309" s="1846"/>
      <c r="F309" s="1846"/>
      <c r="I309" s="490"/>
    </row>
    <row r="310" spans="1:9" ht="14.25">
      <c r="A310" s="484"/>
      <c r="B310" s="484"/>
      <c r="D310" s="1846"/>
      <c r="E310" s="1846"/>
      <c r="F310" s="1846"/>
      <c r="I310" s="490"/>
    </row>
    <row r="311" spans="1:9" ht="14.25">
      <c r="A311" s="484"/>
      <c r="B311" s="484"/>
      <c r="D311" s="1846"/>
      <c r="E311" s="1846"/>
      <c r="F311" s="1846"/>
      <c r="I311" s="490"/>
    </row>
    <row r="312" spans="1:9" ht="14.25">
      <c r="A312" s="484"/>
      <c r="B312" s="484"/>
      <c r="D312" s="494"/>
      <c r="E312" s="495"/>
      <c r="F312" s="495"/>
      <c r="I312" s="490"/>
    </row>
    <row r="313" spans="1:9" ht="13.7" customHeight="1">
      <c r="B313" s="485" t="s">
        <v>2791</v>
      </c>
      <c r="D313" s="1846" t="s">
        <v>1130</v>
      </c>
      <c r="E313" s="1846"/>
      <c r="F313" s="1846"/>
      <c r="I313" s="490"/>
    </row>
    <row r="314" spans="1:9">
      <c r="D314" s="1846"/>
      <c r="E314" s="1846"/>
      <c r="F314" s="1846"/>
      <c r="I314" s="490"/>
    </row>
    <row r="315" spans="1:9" ht="14.25">
      <c r="A315" s="484"/>
      <c r="B315" s="484"/>
      <c r="D315" s="494"/>
      <c r="E315" s="495"/>
      <c r="F315" s="495"/>
      <c r="I315" s="490"/>
    </row>
    <row r="316" spans="1:9">
      <c r="B316" s="485" t="s">
        <v>2792</v>
      </c>
      <c r="D316" s="1823" t="s">
        <v>1131</v>
      </c>
      <c r="E316" s="1823"/>
      <c r="F316" s="1823"/>
      <c r="I316" s="490"/>
    </row>
    <row r="317" spans="1:9">
      <c r="E317" s="446"/>
      <c r="F317" s="446"/>
      <c r="I317" s="490"/>
    </row>
    <row r="318" spans="1:9" ht="14.25">
      <c r="A318" s="484"/>
      <c r="B318" s="485" t="s">
        <v>2791</v>
      </c>
      <c r="D318" s="1822" t="s">
        <v>2197</v>
      </c>
      <c r="E318" s="1822"/>
      <c r="F318" s="1822"/>
      <c r="I318" s="490"/>
    </row>
    <row r="319" spans="1:9" ht="14.25">
      <c r="A319" s="484"/>
      <c r="B319" s="484"/>
      <c r="D319" s="1822"/>
      <c r="E319" s="1822"/>
      <c r="F319" s="1822"/>
      <c r="I319" s="490"/>
    </row>
    <row r="320" spans="1:9" ht="14.25">
      <c r="A320" s="484"/>
      <c r="B320" s="484"/>
      <c r="D320" s="1822"/>
      <c r="E320" s="1822"/>
      <c r="F320" s="1822"/>
      <c r="I320" s="490"/>
    </row>
    <row r="321" spans="1:9" ht="14.25">
      <c r="A321" s="484"/>
      <c r="B321" s="484"/>
      <c r="D321" s="1822"/>
      <c r="E321" s="1822"/>
      <c r="F321" s="1822"/>
      <c r="I321" s="490"/>
    </row>
    <row r="322" spans="1:9" ht="14.25">
      <c r="A322" s="484"/>
      <c r="B322" s="484"/>
      <c r="D322" s="1822"/>
      <c r="E322" s="1822"/>
      <c r="F322" s="1822"/>
      <c r="I322" s="490"/>
    </row>
    <row r="323" spans="1:9" ht="14.25">
      <c r="A323" s="484"/>
      <c r="B323" s="484"/>
      <c r="D323" s="1822"/>
      <c r="E323" s="1822"/>
      <c r="F323" s="1822"/>
      <c r="I323" s="490"/>
    </row>
    <row r="324" spans="1:9" ht="14.25">
      <c r="A324" s="484"/>
      <c r="B324" s="484"/>
      <c r="D324" s="1822"/>
      <c r="E324" s="1822"/>
      <c r="F324" s="1822"/>
      <c r="I324" s="490"/>
    </row>
    <row r="325" spans="1:9" ht="14.25">
      <c r="A325" s="484"/>
      <c r="B325" s="484"/>
      <c r="D325" s="1822"/>
      <c r="E325" s="1822"/>
      <c r="F325" s="1822"/>
      <c r="I325" s="490"/>
    </row>
    <row r="326" spans="1:9" ht="14.25">
      <c r="A326" s="484"/>
      <c r="B326" s="484"/>
      <c r="D326" s="1822"/>
      <c r="E326" s="1822"/>
      <c r="F326" s="1822"/>
      <c r="I326" s="490"/>
    </row>
    <row r="327" spans="1:9" ht="14.25">
      <c r="A327" s="484"/>
      <c r="B327" s="484"/>
      <c r="D327" s="1822"/>
      <c r="E327" s="1822"/>
      <c r="F327" s="1822"/>
      <c r="I327" s="490"/>
    </row>
    <row r="328" spans="1:9" ht="14.25">
      <c r="A328" s="484"/>
      <c r="B328" s="484"/>
      <c r="D328" s="1822"/>
      <c r="E328" s="1822"/>
      <c r="F328" s="1822"/>
      <c r="I328" s="490"/>
    </row>
    <row r="329" spans="1:9" ht="14.25">
      <c r="A329" s="484"/>
      <c r="B329" s="484"/>
      <c r="D329" s="1822"/>
      <c r="E329" s="1822"/>
      <c r="F329" s="1822"/>
      <c r="I329" s="490"/>
    </row>
    <row r="330" spans="1:9" ht="14.25">
      <c r="A330" s="484"/>
      <c r="B330" s="484"/>
      <c r="D330" s="1822"/>
      <c r="E330" s="1822"/>
      <c r="F330" s="1822"/>
      <c r="I330" s="490"/>
    </row>
    <row r="331" spans="1:9" ht="14.25">
      <c r="A331" s="484"/>
      <c r="B331" s="484"/>
      <c r="D331" s="1822"/>
      <c r="E331" s="1822"/>
      <c r="F331" s="1822"/>
      <c r="I331" s="490"/>
    </row>
    <row r="332" spans="1:9" ht="14.25">
      <c r="A332" s="484"/>
      <c r="B332" s="484"/>
      <c r="D332" s="1822"/>
      <c r="E332" s="1822"/>
      <c r="F332" s="1822"/>
      <c r="I332" s="490"/>
    </row>
    <row r="333" spans="1:9">
      <c r="D333" s="446"/>
      <c r="E333" s="446"/>
      <c r="F333" s="446"/>
      <c r="I333" s="490"/>
    </row>
    <row r="334" spans="1:9" ht="14.25">
      <c r="A334" s="484"/>
      <c r="B334" s="485" t="s">
        <v>2792</v>
      </c>
      <c r="D334" s="1822" t="s">
        <v>1132</v>
      </c>
      <c r="E334" s="1822"/>
      <c r="F334" s="1822"/>
      <c r="I334" s="490"/>
    </row>
    <row r="335" spans="1:9">
      <c r="D335" s="1822"/>
      <c r="E335" s="1822"/>
      <c r="F335" s="1822"/>
      <c r="I335" s="490"/>
    </row>
    <row r="336" spans="1:9">
      <c r="D336" s="1822"/>
      <c r="E336" s="1822"/>
      <c r="F336" s="1822"/>
      <c r="I336" s="490"/>
    </row>
    <row r="337" spans="1:9">
      <c r="D337" s="1822"/>
      <c r="E337" s="1822"/>
      <c r="F337" s="1822"/>
      <c r="I337" s="490"/>
    </row>
    <row r="338" spans="1:9">
      <c r="D338" s="1822"/>
      <c r="E338" s="1822"/>
      <c r="F338" s="1822"/>
      <c r="I338" s="490"/>
    </row>
    <row r="339" spans="1:9">
      <c r="D339" s="1822"/>
      <c r="E339" s="1822"/>
      <c r="F339" s="1822"/>
      <c r="I339" s="490"/>
    </row>
    <row r="340" spans="1:9">
      <c r="D340" s="1822"/>
      <c r="E340" s="1822"/>
      <c r="F340" s="1822"/>
      <c r="I340" s="490"/>
    </row>
    <row r="341" spans="1:9">
      <c r="D341" s="1822"/>
      <c r="E341" s="1822"/>
      <c r="F341" s="1822"/>
      <c r="I341" s="490"/>
    </row>
    <row r="342" spans="1:9">
      <c r="D342" s="1822"/>
      <c r="E342" s="1822"/>
      <c r="F342" s="1822"/>
      <c r="I342" s="490"/>
    </row>
    <row r="343" spans="1:9">
      <c r="D343" s="446"/>
      <c r="E343" s="446"/>
      <c r="F343" s="446"/>
      <c r="I343" s="490"/>
    </row>
    <row r="344" spans="1:9" ht="14.25" customHeight="1">
      <c r="A344" s="484"/>
      <c r="B344" s="485" t="s">
        <v>2791</v>
      </c>
      <c r="D344" s="1822" t="s">
        <v>1875</v>
      </c>
      <c r="E344" s="1822"/>
      <c r="F344" s="1822"/>
      <c r="I344" s="490"/>
    </row>
    <row r="345" spans="1:9">
      <c r="D345" s="1822"/>
      <c r="E345" s="1822"/>
      <c r="F345" s="1822"/>
      <c r="I345" s="490"/>
    </row>
    <row r="346" spans="1:9">
      <c r="D346" s="1822"/>
      <c r="E346" s="1822"/>
      <c r="F346" s="1822"/>
      <c r="I346" s="490"/>
    </row>
    <row r="347" spans="1:9">
      <c r="D347" s="1822"/>
      <c r="E347" s="1822"/>
      <c r="F347" s="1822"/>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855" t="s">
        <v>979</v>
      </c>
      <c r="E351" s="1855"/>
      <c r="F351" s="1855"/>
      <c r="G351" s="1022"/>
      <c r="H351" s="1022"/>
      <c r="I351" s="1150"/>
    </row>
    <row r="352" spans="1:9" ht="13.5" thickTop="1">
      <c r="D352" s="1854" t="s">
        <v>2198</v>
      </c>
      <c r="E352" s="1854"/>
      <c r="F352" s="1854"/>
      <c r="I352" s="490"/>
    </row>
    <row r="353" spans="1:9">
      <c r="D353" s="446"/>
      <c r="E353" s="446"/>
      <c r="F353" s="446"/>
      <c r="I353" s="490"/>
    </row>
    <row r="354" spans="1:9">
      <c r="A354" s="476"/>
      <c r="B354" s="476"/>
      <c r="C354" s="476"/>
      <c r="D354" s="447"/>
      <c r="E354" s="447"/>
      <c r="F354" s="446"/>
      <c r="I354" s="490"/>
    </row>
    <row r="355" spans="1:9" ht="14.25">
      <c r="A355" s="484"/>
      <c r="B355" s="485" t="s">
        <v>2791</v>
      </c>
      <c r="C355" s="487"/>
      <c r="D355" s="1823" t="s">
        <v>1873</v>
      </c>
      <c r="E355" s="1823"/>
      <c r="F355" s="1823"/>
      <c r="I355" s="490"/>
    </row>
    <row r="356" spans="1:9" ht="12.75" customHeight="1">
      <c r="D356" s="1032"/>
      <c r="E356" s="96" t="s">
        <v>1872</v>
      </c>
      <c r="F356" s="1032"/>
      <c r="I356" s="490"/>
    </row>
    <row r="357" spans="1:9">
      <c r="D357" s="1822" t="s">
        <v>1239</v>
      </c>
      <c r="E357" s="1822"/>
      <c r="F357" s="1822"/>
      <c r="I357" s="490"/>
    </row>
    <row r="358" spans="1:9">
      <c r="D358" s="1822"/>
      <c r="E358" s="1822"/>
      <c r="F358" s="1822"/>
      <c r="I358" s="490"/>
    </row>
    <row r="359" spans="1:9">
      <c r="D359" s="1822"/>
      <c r="E359" s="1822"/>
      <c r="F359" s="1822"/>
      <c r="I359" s="490"/>
    </row>
    <row r="360" spans="1:9" ht="14.25">
      <c r="A360" s="484"/>
      <c r="B360" s="485" t="s">
        <v>2791</v>
      </c>
      <c r="C360" s="476"/>
      <c r="D360" s="1836" t="s">
        <v>2015</v>
      </c>
      <c r="E360" s="1836"/>
      <c r="F360" s="1836"/>
      <c r="I360" s="480"/>
    </row>
    <row r="361" spans="1:9">
      <c r="A361" s="476"/>
      <c r="B361" s="476"/>
      <c r="C361" s="476"/>
      <c r="D361" s="447"/>
      <c r="E361" s="447"/>
      <c r="F361" s="446"/>
      <c r="I361" s="490"/>
    </row>
    <row r="362" spans="1:9">
      <c r="A362" s="476"/>
      <c r="B362" s="485" t="s">
        <v>2791</v>
      </c>
      <c r="C362" s="476"/>
      <c r="D362" s="1803" t="s">
        <v>2016</v>
      </c>
      <c r="E362" s="1803"/>
      <c r="F362" s="1803"/>
      <c r="I362" s="490"/>
    </row>
    <row r="363" spans="1:9">
      <c r="A363" s="476"/>
      <c r="B363" s="476"/>
      <c r="C363" s="476"/>
      <c r="D363" s="1803"/>
      <c r="E363" s="1803"/>
      <c r="F363" s="1803"/>
      <c r="I363" s="490"/>
    </row>
    <row r="364" spans="1:9">
      <c r="A364" s="476"/>
      <c r="B364" s="476"/>
      <c r="C364" s="476"/>
      <c r="D364" s="1803"/>
      <c r="E364" s="1803"/>
      <c r="F364" s="1803"/>
      <c r="I364" s="490"/>
    </row>
    <row r="365" spans="1:9">
      <c r="A365" s="476"/>
      <c r="B365" s="476"/>
      <c r="C365" s="476"/>
      <c r="D365" s="1803"/>
      <c r="E365" s="1803"/>
      <c r="F365" s="1803"/>
      <c r="I365" s="490"/>
    </row>
    <row r="366" spans="1:9">
      <c r="A366" s="476"/>
      <c r="B366" s="476"/>
      <c r="C366" s="476"/>
      <c r="D366" s="1803"/>
      <c r="E366" s="1803"/>
      <c r="F366" s="1803"/>
      <c r="I366" s="490"/>
    </row>
    <row r="367" spans="1:9">
      <c r="A367" s="476"/>
      <c r="B367" s="476"/>
      <c r="C367" s="476"/>
      <c r="D367" s="1803"/>
      <c r="E367" s="1803"/>
      <c r="F367" s="1803"/>
      <c r="I367" s="490"/>
    </row>
    <row r="368" spans="1:9">
      <c r="A368" s="476"/>
      <c r="B368" s="476"/>
      <c r="C368" s="476"/>
      <c r="D368" s="1803"/>
      <c r="E368" s="1803"/>
      <c r="F368" s="1803"/>
      <c r="I368" s="490"/>
    </row>
    <row r="369" spans="1:9">
      <c r="A369" s="476"/>
      <c r="B369" s="476"/>
      <c r="C369" s="476"/>
      <c r="D369" s="1803"/>
      <c r="E369" s="1803"/>
      <c r="F369" s="1803"/>
      <c r="I369" s="490"/>
    </row>
    <row r="370" spans="1:9">
      <c r="A370" s="476"/>
      <c r="B370" s="476"/>
      <c r="C370" s="476"/>
      <c r="D370" s="1803"/>
      <c r="E370" s="1803"/>
      <c r="F370" s="1803"/>
      <c r="I370" s="490"/>
    </row>
    <row r="371" spans="1:9">
      <c r="A371" s="476"/>
      <c r="B371" s="476"/>
      <c r="C371" s="476"/>
      <c r="D371" s="1803"/>
      <c r="E371" s="1803"/>
      <c r="F371" s="1803"/>
      <c r="I371" s="490"/>
    </row>
    <row r="372" spans="1:9">
      <c r="A372" s="476"/>
      <c r="B372" s="476"/>
      <c r="C372" s="476"/>
      <c r="D372" s="1803"/>
      <c r="E372" s="1803"/>
      <c r="F372" s="1803"/>
      <c r="I372" s="490"/>
    </row>
    <row r="373" spans="1:9">
      <c r="A373" s="476"/>
      <c r="B373" s="476"/>
      <c r="C373" s="476"/>
      <c r="D373" s="1803"/>
      <c r="E373" s="1803"/>
      <c r="F373" s="1803"/>
      <c r="I373" s="490"/>
    </row>
    <row r="374" spans="1:9">
      <c r="A374" s="476"/>
      <c r="B374" s="476"/>
      <c r="C374" s="476"/>
      <c r="D374" s="451"/>
      <c r="E374" s="451"/>
      <c r="F374" s="451"/>
      <c r="I374" s="490"/>
    </row>
    <row r="375" spans="1:9" ht="12.4" customHeight="1">
      <c r="A375" s="476"/>
      <c r="B375" s="485" t="s">
        <v>2791</v>
      </c>
      <c r="C375" s="476"/>
      <c r="D375" s="1818" t="s">
        <v>1221</v>
      </c>
      <c r="E375" s="1818"/>
      <c r="F375" s="1818"/>
      <c r="I375" s="490"/>
    </row>
    <row r="376" spans="1:9">
      <c r="A376" s="476"/>
      <c r="B376" s="476"/>
      <c r="C376" s="476"/>
      <c r="D376" s="1818"/>
      <c r="E376" s="1818"/>
      <c r="F376" s="1818"/>
      <c r="I376" s="490"/>
    </row>
    <row r="377" spans="1:9">
      <c r="A377" s="476"/>
      <c r="B377" s="476"/>
      <c r="C377" s="476"/>
      <c r="D377" s="1818"/>
      <c r="E377" s="1818"/>
      <c r="F377" s="1818"/>
      <c r="I377" s="490"/>
    </row>
    <row r="378" spans="1:9">
      <c r="A378" s="476"/>
      <c r="B378" s="476"/>
      <c r="C378" s="476"/>
      <c r="D378" s="1818"/>
      <c r="E378" s="1818"/>
      <c r="F378" s="1818"/>
      <c r="I378" s="490"/>
    </row>
    <row r="379" spans="1:9">
      <c r="A379" s="476"/>
      <c r="B379" s="476"/>
      <c r="C379" s="476"/>
      <c r="D379" s="524"/>
      <c r="E379" s="524"/>
      <c r="F379" s="524"/>
      <c r="I379" s="490"/>
    </row>
    <row r="380" spans="1:9">
      <c r="A380" s="476"/>
      <c r="B380" s="485" t="s">
        <v>2792</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2792</v>
      </c>
      <c r="C387" s="476"/>
      <c r="D387" s="1803" t="s">
        <v>1133</v>
      </c>
      <c r="E387" s="1803"/>
      <c r="F387" s="1803"/>
      <c r="I387" s="490"/>
    </row>
    <row r="388" spans="1:9">
      <c r="A388" s="476"/>
      <c r="B388" s="476"/>
      <c r="C388" s="476"/>
      <c r="D388" s="1803"/>
      <c r="E388" s="1803"/>
      <c r="F388" s="1803"/>
      <c r="I388" s="490"/>
    </row>
    <row r="389" spans="1:9">
      <c r="A389" s="476"/>
      <c r="B389" s="476"/>
      <c r="C389" s="476"/>
      <c r="D389" s="1803"/>
      <c r="E389" s="1803"/>
      <c r="F389" s="1803"/>
      <c r="I389" s="490"/>
    </row>
    <row r="390" spans="1:9">
      <c r="A390" s="476"/>
      <c r="B390" s="476"/>
      <c r="C390" s="476"/>
      <c r="D390" s="1803"/>
      <c r="E390" s="1803"/>
      <c r="F390" s="1803"/>
      <c r="I390" s="490"/>
    </row>
    <row r="391" spans="1:9">
      <c r="A391" s="476"/>
      <c r="B391" s="476"/>
      <c r="C391" s="476"/>
      <c r="D391" s="447"/>
      <c r="E391" s="447"/>
      <c r="F391" s="446"/>
      <c r="I391" s="490"/>
    </row>
    <row r="392" spans="1:9">
      <c r="A392" s="476"/>
      <c r="B392" s="476"/>
      <c r="C392" s="476"/>
      <c r="D392" s="1803" t="s">
        <v>1134</v>
      </c>
      <c r="E392" s="1803"/>
      <c r="F392" s="1803"/>
      <c r="I392" s="490"/>
    </row>
    <row r="393" spans="1:9">
      <c r="A393" s="476"/>
      <c r="B393" s="476"/>
      <c r="C393" s="476"/>
      <c r="D393" s="1803"/>
      <c r="E393" s="1803"/>
      <c r="F393" s="1803"/>
      <c r="I393" s="490"/>
    </row>
    <row r="394" spans="1:9">
      <c r="A394" s="476"/>
      <c r="B394" s="476"/>
      <c r="C394" s="476"/>
      <c r="D394" s="1803"/>
      <c r="E394" s="1803"/>
      <c r="F394" s="1803"/>
      <c r="I394" s="490"/>
    </row>
    <row r="395" spans="1:9">
      <c r="A395" s="476"/>
      <c r="B395" s="476"/>
      <c r="C395" s="476"/>
      <c r="D395" s="1803"/>
      <c r="E395" s="1803"/>
      <c r="F395" s="1803"/>
      <c r="I395" s="490"/>
    </row>
    <row r="396" spans="1:9" ht="18" customHeight="1">
      <c r="A396" s="476"/>
      <c r="B396" s="476"/>
      <c r="C396" s="476"/>
      <c r="D396" s="1803"/>
      <c r="E396" s="1803"/>
      <c r="F396" s="1803"/>
      <c r="I396" s="490"/>
    </row>
    <row r="397" spans="1:9">
      <c r="A397" s="476"/>
      <c r="B397" s="476"/>
      <c r="C397" s="476"/>
      <c r="D397" s="1803"/>
      <c r="E397" s="1803"/>
      <c r="F397" s="1803"/>
      <c r="I397" s="490"/>
    </row>
    <row r="398" spans="1:9">
      <c r="A398" s="476"/>
      <c r="B398" s="476"/>
      <c r="C398" s="476"/>
      <c r="D398" s="1803"/>
      <c r="E398" s="1803"/>
      <c r="F398" s="1803"/>
      <c r="I398" s="490"/>
    </row>
    <row r="399" spans="1:9">
      <c r="A399" s="476"/>
      <c r="B399" s="476"/>
      <c r="C399" s="476"/>
      <c r="D399" s="1803"/>
      <c r="E399" s="1803"/>
      <c r="F399" s="1803"/>
      <c r="I399" s="490"/>
    </row>
    <row r="400" spans="1:9" ht="8.25" customHeight="1">
      <c r="A400" s="476"/>
      <c r="B400" s="476"/>
      <c r="C400" s="476"/>
      <c r="D400" s="1803"/>
      <c r="E400" s="1803"/>
      <c r="F400" s="1803"/>
      <c r="I400" s="490"/>
    </row>
    <row r="401" spans="1:9" ht="13.7" customHeight="1">
      <c r="A401" s="476"/>
      <c r="B401" s="476"/>
      <c r="C401" s="476"/>
      <c r="D401" s="1803" t="s">
        <v>1135</v>
      </c>
      <c r="E401" s="1803"/>
      <c r="F401" s="1803"/>
      <c r="I401" s="490"/>
    </row>
    <row r="402" spans="1:9">
      <c r="A402" s="476"/>
      <c r="B402" s="476"/>
      <c r="C402" s="476"/>
      <c r="D402" s="1803"/>
      <c r="E402" s="1803"/>
      <c r="F402" s="1803"/>
      <c r="I402" s="490"/>
    </row>
    <row r="403" spans="1:9">
      <c r="A403" s="476"/>
      <c r="B403" s="476"/>
      <c r="C403" s="476"/>
      <c r="D403" s="1803"/>
      <c r="E403" s="1803"/>
      <c r="F403" s="1803"/>
      <c r="I403" s="490"/>
    </row>
    <row r="404" spans="1:9">
      <c r="A404" s="476"/>
      <c r="B404" s="476"/>
      <c r="C404" s="476"/>
      <c r="D404" s="1803"/>
      <c r="E404" s="1803"/>
      <c r="F404" s="1803"/>
      <c r="I404" s="490"/>
    </row>
    <row r="405" spans="1:9">
      <c r="A405" s="476"/>
      <c r="B405" s="476"/>
      <c r="C405" s="476"/>
      <c r="D405" s="1803"/>
      <c r="E405" s="1803"/>
      <c r="F405" s="1803"/>
      <c r="I405" s="490"/>
    </row>
    <row r="406" spans="1:9">
      <c r="A406" s="476"/>
      <c r="B406" s="476"/>
      <c r="C406" s="476"/>
      <c r="D406" s="1803"/>
      <c r="E406" s="1803"/>
      <c r="F406" s="1803"/>
      <c r="I406" s="490"/>
    </row>
    <row r="407" spans="1:9">
      <c r="A407" s="476"/>
      <c r="B407" s="476"/>
      <c r="C407" s="476"/>
      <c r="D407" s="1803"/>
      <c r="E407" s="1803"/>
      <c r="F407" s="1803"/>
      <c r="I407" s="490"/>
    </row>
    <row r="408" spans="1:9">
      <c r="A408" s="476"/>
      <c r="B408" s="476"/>
      <c r="C408" s="476"/>
      <c r="D408" s="1803"/>
      <c r="E408" s="1803"/>
      <c r="F408" s="1803"/>
      <c r="I408" s="490"/>
    </row>
    <row r="409" spans="1:9">
      <c r="A409" s="476"/>
      <c r="B409" s="476"/>
      <c r="C409" s="476"/>
      <c r="D409" s="1803"/>
      <c r="E409" s="1803"/>
      <c r="F409" s="1803"/>
      <c r="I409" s="490"/>
    </row>
    <row r="410" spans="1:9">
      <c r="A410" s="476"/>
      <c r="B410" s="476"/>
      <c r="C410" s="476"/>
      <c r="D410" s="1803"/>
      <c r="E410" s="1803"/>
      <c r="F410" s="1803"/>
      <c r="I410" s="490"/>
    </row>
    <row r="411" spans="1:9">
      <c r="A411" s="476"/>
      <c r="B411" s="476"/>
      <c r="C411" s="476"/>
      <c r="D411" s="1803"/>
      <c r="E411" s="1803"/>
      <c r="F411" s="1803"/>
      <c r="I411" s="490"/>
    </row>
    <row r="412" spans="1:9">
      <c r="A412" s="476"/>
      <c r="B412" s="476"/>
      <c r="C412" s="476"/>
      <c r="D412" s="1803"/>
      <c r="E412" s="1803"/>
      <c r="F412" s="1803"/>
      <c r="I412" s="490"/>
    </row>
    <row r="413" spans="1:9">
      <c r="A413" s="476"/>
      <c r="B413" s="476"/>
      <c r="C413" s="496"/>
      <c r="D413" s="1803"/>
      <c r="E413" s="1803"/>
      <c r="F413" s="1803"/>
      <c r="I413" s="490"/>
    </row>
    <row r="414" spans="1:9">
      <c r="A414" s="476"/>
      <c r="B414" s="476"/>
      <c r="C414" s="496"/>
      <c r="D414" s="1803"/>
      <c r="E414" s="1803"/>
      <c r="F414" s="1803"/>
      <c r="I414" s="490"/>
    </row>
    <row r="415" spans="1:9">
      <c r="A415" s="476"/>
      <c r="B415" s="476"/>
      <c r="C415" s="476"/>
      <c r="D415" s="1803"/>
      <c r="E415" s="1803"/>
      <c r="F415" s="1803"/>
      <c r="I415" s="490"/>
    </row>
    <row r="416" spans="1:9">
      <c r="A416" s="476"/>
      <c r="B416" s="476"/>
      <c r="C416" s="496"/>
      <c r="D416" s="1803"/>
      <c r="E416" s="1803"/>
      <c r="F416" s="1803"/>
      <c r="I416" s="490"/>
    </row>
    <row r="417" spans="1:9">
      <c r="A417" s="476"/>
      <c r="B417" s="476"/>
      <c r="C417" s="496"/>
      <c r="D417" s="1803"/>
      <c r="E417" s="1803"/>
      <c r="F417" s="1803"/>
      <c r="I417" s="490"/>
    </row>
    <row r="418" spans="1:9">
      <c r="A418" s="476"/>
      <c r="B418" s="476"/>
      <c r="C418" s="496"/>
      <c r="D418" s="1803"/>
      <c r="E418" s="1803"/>
      <c r="F418" s="1803"/>
      <c r="I418" s="490"/>
    </row>
    <row r="419" spans="1:9">
      <c r="A419" s="476"/>
      <c r="B419" s="476"/>
      <c r="C419" s="476"/>
      <c r="D419" s="447"/>
      <c r="E419" s="447"/>
      <c r="F419" s="446"/>
      <c r="I419" s="490"/>
    </row>
    <row r="420" spans="1:9">
      <c r="A420" s="476"/>
      <c r="B420" s="485" t="s">
        <v>2791</v>
      </c>
      <c r="C420" s="476"/>
      <c r="D420" s="1803" t="s">
        <v>1136</v>
      </c>
      <c r="E420" s="1803"/>
      <c r="F420" s="1803"/>
      <c r="I420" s="490"/>
    </row>
    <row r="421" spans="1:9">
      <c r="A421" s="476"/>
      <c r="B421" s="476"/>
      <c r="C421" s="476"/>
      <c r="D421" s="1803"/>
      <c r="E421" s="1803"/>
      <c r="F421" s="1803"/>
      <c r="I421" s="490"/>
    </row>
    <row r="422" spans="1:9">
      <c r="A422" s="476"/>
      <c r="B422" s="476"/>
      <c r="C422" s="476"/>
      <c r="D422" s="451"/>
      <c r="E422" s="451"/>
      <c r="F422" s="451"/>
      <c r="I422" s="490"/>
    </row>
    <row r="423" spans="1:9" ht="14.45" customHeight="1">
      <c r="A423" s="484"/>
      <c r="B423" s="485" t="s">
        <v>2791</v>
      </c>
      <c r="D423" s="1803" t="s">
        <v>1855</v>
      </c>
      <c r="E423" s="1803"/>
      <c r="F423" s="1803"/>
      <c r="I423" s="490"/>
    </row>
    <row r="424" spans="1:9" ht="14.45" customHeight="1">
      <c r="A424" s="484"/>
      <c r="D424" s="1803"/>
      <c r="E424" s="1803"/>
      <c r="F424" s="1803"/>
      <c r="I424" s="490"/>
    </row>
    <row r="425" spans="1:9" ht="14.45" customHeight="1">
      <c r="A425" s="484"/>
      <c r="D425" s="1803"/>
      <c r="E425" s="1803"/>
      <c r="F425" s="1803"/>
      <c r="I425" s="490"/>
    </row>
    <row r="426" spans="1:9" ht="14.45" customHeight="1">
      <c r="A426" s="484"/>
      <c r="D426" s="1803"/>
      <c r="E426" s="1803"/>
      <c r="F426" s="1803"/>
      <c r="I426" s="490"/>
    </row>
    <row r="427" spans="1:9" ht="14.45" customHeight="1">
      <c r="A427" s="484"/>
      <c r="D427" s="1803"/>
      <c r="E427" s="1803"/>
      <c r="F427" s="1803"/>
      <c r="I427" s="490"/>
    </row>
    <row r="428" spans="1:9" ht="14.45" customHeight="1">
      <c r="A428" s="484"/>
      <c r="D428" s="385"/>
      <c r="E428" s="385"/>
      <c r="F428" s="385"/>
      <c r="I428" s="490"/>
    </row>
    <row r="429" spans="1:9" ht="13.7" customHeight="1">
      <c r="A429" s="484"/>
      <c r="B429" s="485" t="s">
        <v>2791</v>
      </c>
      <c r="C429" s="476"/>
      <c r="D429" s="1803" t="s">
        <v>1240</v>
      </c>
      <c r="E429" s="1803"/>
      <c r="F429" s="1803"/>
      <c r="I429" s="490"/>
    </row>
    <row r="430" spans="1:9" ht="14.25">
      <c r="A430" s="497"/>
      <c r="B430" s="497"/>
      <c r="C430" s="476"/>
      <c r="D430" s="1803"/>
      <c r="E430" s="1803"/>
      <c r="F430" s="1803"/>
      <c r="I430" s="490"/>
    </row>
    <row r="431" spans="1:9" ht="14.25">
      <c r="A431" s="497"/>
      <c r="B431" s="497"/>
      <c r="C431" s="476"/>
      <c r="D431" s="1803"/>
      <c r="E431" s="1803"/>
      <c r="F431" s="1803"/>
      <c r="I431" s="490"/>
    </row>
    <row r="432" spans="1:9" ht="14.25">
      <c r="A432" s="497"/>
      <c r="B432" s="497"/>
      <c r="C432" s="476"/>
      <c r="D432" s="1803"/>
      <c r="E432" s="1803"/>
      <c r="F432" s="1803"/>
      <c r="I432" s="490"/>
    </row>
    <row r="433" spans="1:9" ht="15.75" customHeight="1">
      <c r="A433" s="497"/>
      <c r="B433" s="497"/>
      <c r="C433" s="476"/>
      <c r="D433" s="1828" t="s">
        <v>2607</v>
      </c>
      <c r="E433" s="1803"/>
      <c r="F433" s="1803"/>
      <c r="I433" s="490"/>
    </row>
    <row r="434" spans="1:9">
      <c r="D434" s="446"/>
      <c r="E434" s="446"/>
      <c r="F434" s="446"/>
      <c r="I434" s="490"/>
    </row>
    <row r="435" spans="1:9" ht="14.25">
      <c r="A435" s="484"/>
      <c r="B435" s="485" t="s">
        <v>2792</v>
      </c>
      <c r="C435" s="487"/>
      <c r="D435" s="1822" t="s">
        <v>2017</v>
      </c>
      <c r="E435" s="1822"/>
      <c r="F435" s="1822"/>
      <c r="I435" s="490"/>
    </row>
    <row r="436" spans="1:9" ht="14.25">
      <c r="A436" s="484"/>
      <c r="B436" s="484"/>
      <c r="D436" s="1822"/>
      <c r="E436" s="1822"/>
      <c r="F436" s="1822"/>
      <c r="I436" s="490"/>
    </row>
    <row r="437" spans="1:9">
      <c r="D437" s="1822"/>
      <c r="E437" s="1822"/>
      <c r="F437" s="1822"/>
      <c r="I437" s="490"/>
    </row>
    <row r="438" spans="1:9">
      <c r="D438" s="1822"/>
      <c r="E438" s="1822"/>
      <c r="F438" s="1822"/>
      <c r="I438" s="490"/>
    </row>
    <row r="439" spans="1:9">
      <c r="D439" s="1822"/>
      <c r="E439" s="1822"/>
      <c r="F439" s="1822"/>
      <c r="I439" s="490"/>
    </row>
    <row r="440" spans="1:9">
      <c r="D440" s="1822"/>
      <c r="E440" s="1822"/>
      <c r="F440" s="1822"/>
      <c r="I440" s="490"/>
    </row>
    <row r="441" spans="1:9">
      <c r="D441" s="1822"/>
      <c r="E441" s="1822"/>
      <c r="F441" s="1822"/>
      <c r="I441" s="490"/>
    </row>
    <row r="442" spans="1:9">
      <c r="D442" s="1822"/>
      <c r="E442" s="1822"/>
      <c r="F442" s="1822"/>
      <c r="I442" s="490"/>
    </row>
    <row r="443" spans="1:9">
      <c r="D443" s="1822"/>
      <c r="E443" s="1822"/>
      <c r="F443" s="1822"/>
      <c r="I443" s="490"/>
    </row>
    <row r="444" spans="1:9">
      <c r="D444" s="1822"/>
      <c r="E444" s="1822"/>
      <c r="F444" s="1822"/>
      <c r="I444" s="490"/>
    </row>
    <row r="445" spans="1:9">
      <c r="D445" s="1822"/>
      <c r="E445" s="1822"/>
      <c r="F445" s="1822"/>
      <c r="I445" s="490"/>
    </row>
    <row r="446" spans="1:9">
      <c r="D446" s="1822"/>
      <c r="E446" s="1822"/>
      <c r="F446" s="1822"/>
      <c r="I446" s="490"/>
    </row>
    <row r="447" spans="1:9">
      <c r="D447" s="1822"/>
      <c r="E447" s="1822"/>
      <c r="F447" s="1822"/>
      <c r="I447" s="490"/>
    </row>
    <row r="448" spans="1:9">
      <c r="A448" s="402"/>
      <c r="B448" s="402"/>
      <c r="C448" s="402"/>
      <c r="D448" s="1822"/>
      <c r="E448" s="1822"/>
      <c r="F448" s="1822"/>
      <c r="I448" s="490"/>
    </row>
    <row r="449" spans="1:9">
      <c r="A449" s="402"/>
      <c r="B449" s="402"/>
      <c r="C449" s="402"/>
      <c r="D449" s="1822"/>
      <c r="E449" s="1822"/>
      <c r="F449" s="1822"/>
      <c r="I449" s="490"/>
    </row>
    <row r="450" spans="1:9">
      <c r="A450" s="402"/>
      <c r="B450" s="402"/>
      <c r="C450" s="402"/>
      <c r="D450" s="1822"/>
      <c r="E450" s="1822"/>
      <c r="F450" s="1822"/>
      <c r="I450" s="490"/>
    </row>
    <row r="451" spans="1:9">
      <c r="A451" s="402"/>
      <c r="B451" s="402"/>
      <c r="C451" s="402"/>
      <c r="D451" s="1822"/>
      <c r="E451" s="1822"/>
      <c r="F451" s="1822"/>
      <c r="I451" s="490"/>
    </row>
    <row r="452" spans="1:9">
      <c r="A452" s="402"/>
      <c r="B452" s="402"/>
      <c r="C452" s="402"/>
      <c r="D452" s="1822"/>
      <c r="E452" s="1822"/>
      <c r="F452" s="1822"/>
      <c r="I452" s="490"/>
    </row>
    <row r="453" spans="1:9">
      <c r="A453" s="402"/>
      <c r="B453" s="402"/>
      <c r="C453" s="402"/>
      <c r="D453" s="1822"/>
      <c r="E453" s="1822"/>
      <c r="F453" s="1822"/>
      <c r="I453" s="490"/>
    </row>
    <row r="454" spans="1:9">
      <c r="A454" s="402"/>
      <c r="B454" s="402"/>
      <c r="C454" s="402"/>
      <c r="D454" s="1822"/>
      <c r="E454" s="1822"/>
      <c r="F454" s="1822"/>
      <c r="I454" s="490"/>
    </row>
    <row r="455" spans="1:9">
      <c r="A455" s="402"/>
      <c r="B455" s="402"/>
      <c r="C455" s="402"/>
      <c r="D455" s="1822"/>
      <c r="E455" s="1822"/>
      <c r="F455" s="1822"/>
      <c r="I455" s="490"/>
    </row>
    <row r="456" spans="1:9">
      <c r="A456" s="402"/>
      <c r="B456" s="402"/>
      <c r="C456" s="402"/>
      <c r="D456" s="1822"/>
      <c r="E456" s="1822"/>
      <c r="F456" s="1822"/>
      <c r="I456" s="490"/>
    </row>
    <row r="457" spans="1:9">
      <c r="A457" s="402"/>
      <c r="B457" s="402"/>
      <c r="C457" s="402"/>
      <c r="D457" s="1822"/>
      <c r="E457" s="1822"/>
      <c r="F457" s="1822"/>
      <c r="I457" s="490"/>
    </row>
    <row r="458" spans="1:9">
      <c r="A458" s="402"/>
      <c r="B458" s="402"/>
      <c r="C458" s="402"/>
      <c r="D458" s="1822"/>
      <c r="E458" s="1822"/>
      <c r="F458" s="1822"/>
      <c r="I458" s="490"/>
    </row>
    <row r="459" spans="1:9">
      <c r="A459" s="402"/>
      <c r="B459" s="402"/>
      <c r="C459" s="402"/>
      <c r="D459" s="1822"/>
      <c r="E459" s="1822"/>
      <c r="F459" s="1822"/>
      <c r="I459" s="490"/>
    </row>
    <row r="460" spans="1:9">
      <c r="A460" s="402"/>
      <c r="B460" s="402"/>
      <c r="C460" s="402"/>
      <c r="D460" s="1822"/>
      <c r="E460" s="1822"/>
      <c r="F460" s="1822"/>
      <c r="I460" s="490"/>
    </row>
    <row r="461" spans="1:9">
      <c r="A461" s="402"/>
      <c r="B461" s="402"/>
      <c r="C461" s="402"/>
      <c r="D461" s="1822"/>
      <c r="E461" s="1822"/>
      <c r="F461" s="1822"/>
      <c r="I461" s="490"/>
    </row>
    <row r="462" spans="1:9">
      <c r="A462" s="402"/>
      <c r="B462" s="402"/>
      <c r="C462" s="402"/>
      <c r="D462" s="1822"/>
      <c r="E462" s="1822"/>
      <c r="F462" s="1822"/>
      <c r="I462" s="490"/>
    </row>
    <row r="463" spans="1:9">
      <c r="A463" s="402"/>
      <c r="B463" s="402"/>
      <c r="C463" s="402"/>
      <c r="D463" s="1822"/>
      <c r="E463" s="1822"/>
      <c r="F463" s="1822"/>
      <c r="I463" s="490"/>
    </row>
    <row r="464" spans="1:9">
      <c r="D464" s="1822"/>
      <c r="E464" s="1822"/>
      <c r="F464" s="1822"/>
      <c r="I464" s="490"/>
    </row>
    <row r="465" spans="1:9" ht="40.700000000000003" customHeight="1">
      <c r="D465" s="1822"/>
      <c r="E465" s="1822"/>
      <c r="F465" s="1822"/>
      <c r="I465" s="490"/>
    </row>
    <row r="466" spans="1:9">
      <c r="D466" s="446"/>
      <c r="E466" s="446"/>
      <c r="F466" s="446"/>
      <c r="I466" s="490"/>
    </row>
    <row r="467" spans="1:9" ht="14.25">
      <c r="A467" s="484"/>
      <c r="B467" s="485" t="s">
        <v>2791</v>
      </c>
      <c r="C467" s="487"/>
      <c r="D467" s="1822" t="s">
        <v>1137</v>
      </c>
      <c r="E467" s="1822"/>
      <c r="F467" s="1822"/>
      <c r="I467" s="490"/>
    </row>
    <row r="468" spans="1:9">
      <c r="D468" s="1822"/>
      <c r="E468" s="1822"/>
      <c r="F468" s="1822"/>
      <c r="I468" s="490"/>
    </row>
    <row r="469" spans="1:9">
      <c r="D469" s="1822"/>
      <c r="E469" s="1822"/>
      <c r="F469" s="1822"/>
      <c r="I469" s="490"/>
    </row>
    <row r="470" spans="1:9">
      <c r="D470" s="445"/>
      <c r="E470" s="445"/>
      <c r="F470" s="445"/>
      <c r="I470" s="490"/>
    </row>
    <row r="471" spans="1:9" ht="14.25">
      <c r="B471" s="485" t="s">
        <v>2791</v>
      </c>
      <c r="C471" s="484"/>
      <c r="D471" s="1822" t="s">
        <v>1197</v>
      </c>
      <c r="E471" s="1822"/>
      <c r="F471" s="1822"/>
      <c r="I471" s="490"/>
    </row>
    <row r="472" spans="1:9">
      <c r="D472" s="1822"/>
      <c r="E472" s="1822"/>
      <c r="F472" s="1822"/>
      <c r="I472" s="490"/>
    </row>
    <row r="473" spans="1:9">
      <c r="D473" s="446"/>
      <c r="E473" s="446"/>
      <c r="F473" s="446"/>
      <c r="I473" s="490"/>
    </row>
    <row r="474" spans="1:9" ht="14.25">
      <c r="B474" s="485" t="s">
        <v>2791</v>
      </c>
      <c r="C474" s="484"/>
      <c r="D474" s="1822" t="s">
        <v>1138</v>
      </c>
      <c r="E474" s="1822"/>
      <c r="F474" s="1822"/>
      <c r="I474" s="490"/>
    </row>
    <row r="475" spans="1:9">
      <c r="D475" s="1822"/>
      <c r="E475" s="1822"/>
      <c r="F475" s="1822"/>
      <c r="I475" s="490"/>
    </row>
    <row r="476" spans="1:9">
      <c r="D476" s="1822"/>
      <c r="E476" s="1822"/>
      <c r="F476" s="1822"/>
      <c r="I476" s="490"/>
    </row>
    <row r="477" spans="1:9">
      <c r="D477" s="1822"/>
      <c r="E477" s="1822"/>
      <c r="F477" s="1822"/>
      <c r="I477" s="490"/>
    </row>
    <row r="478" spans="1:9">
      <c r="B478" s="485" t="s">
        <v>2792</v>
      </c>
      <c r="D478" s="1822"/>
      <c r="E478" s="1822"/>
      <c r="F478" s="1822"/>
      <c r="I478" s="490"/>
    </row>
    <row r="479" spans="1:9">
      <c r="A479" s="402"/>
      <c r="B479" s="402"/>
      <c r="C479" s="402"/>
      <c r="D479" s="1822"/>
      <c r="E479" s="1822"/>
      <c r="F479" s="1822"/>
      <c r="I479" s="490"/>
    </row>
    <row r="480" spans="1:9">
      <c r="A480" s="402"/>
      <c r="C480" s="402"/>
      <c r="D480" s="1822"/>
      <c r="E480" s="1822"/>
      <c r="F480" s="1822"/>
      <c r="I480" s="490"/>
    </row>
    <row r="481" spans="1:9">
      <c r="A481" s="402"/>
      <c r="B481" s="485" t="s">
        <v>2791</v>
      </c>
      <c r="C481" s="402"/>
      <c r="D481" s="1822"/>
      <c r="E481" s="1822"/>
      <c r="F481" s="1822"/>
      <c r="I481" s="490"/>
    </row>
    <row r="482" spans="1:9">
      <c r="A482" s="402"/>
      <c r="B482" s="402"/>
      <c r="C482" s="402"/>
      <c r="D482" s="1822"/>
      <c r="E482" s="1822"/>
      <c r="F482" s="1822"/>
      <c r="I482" s="490"/>
    </row>
    <row r="483" spans="1:9">
      <c r="A483" s="402"/>
      <c r="C483" s="402"/>
      <c r="D483" s="1822"/>
      <c r="E483" s="1822"/>
      <c r="F483" s="1822"/>
      <c r="I483" s="490"/>
    </row>
    <row r="484" spans="1:9">
      <c r="A484" s="402"/>
      <c r="C484" s="402"/>
      <c r="D484" s="1822"/>
      <c r="E484" s="1822"/>
      <c r="F484" s="1822"/>
      <c r="I484" s="490"/>
    </row>
    <row r="485" spans="1:9">
      <c r="A485" s="402"/>
      <c r="C485" s="402"/>
      <c r="D485" s="1822"/>
      <c r="E485" s="1822"/>
      <c r="F485" s="1822"/>
      <c r="I485" s="490"/>
    </row>
    <row r="486" spans="1:9">
      <c r="A486" s="402"/>
      <c r="B486" s="485" t="s">
        <v>2792</v>
      </c>
      <c r="C486" s="402"/>
      <c r="D486" s="1822"/>
      <c r="E486" s="1822"/>
      <c r="F486" s="1822"/>
      <c r="I486" s="490"/>
    </row>
    <row r="487" spans="1:9">
      <c r="A487" s="402"/>
      <c r="C487" s="402"/>
      <c r="D487" s="1822"/>
      <c r="E487" s="1822"/>
      <c r="F487" s="1822"/>
      <c r="I487" s="490"/>
    </row>
    <row r="488" spans="1:9">
      <c r="A488" s="402"/>
      <c r="B488" s="485" t="s">
        <v>2792</v>
      </c>
      <c r="C488" s="402"/>
      <c r="D488" s="1822" t="s">
        <v>1139</v>
      </c>
      <c r="E488" s="1822"/>
      <c r="F488" s="1822"/>
      <c r="I488" s="490"/>
    </row>
    <row r="489" spans="1:9">
      <c r="A489" s="402"/>
      <c r="B489" s="402"/>
      <c r="C489" s="402"/>
      <c r="D489" s="1822"/>
      <c r="E489" s="1822"/>
      <c r="F489" s="1822"/>
      <c r="I489" s="490"/>
    </row>
    <row r="490" spans="1:9">
      <c r="A490" s="402"/>
      <c r="B490" s="402"/>
      <c r="C490" s="402"/>
      <c r="D490" s="1822"/>
      <c r="E490" s="1822"/>
      <c r="F490" s="1822"/>
      <c r="I490" s="490"/>
    </row>
    <row r="491" spans="1:9">
      <c r="A491" s="402"/>
      <c r="B491" s="402"/>
      <c r="C491" s="402"/>
      <c r="D491" s="1822"/>
      <c r="E491" s="1822"/>
      <c r="F491" s="1822"/>
      <c r="I491" s="490"/>
    </row>
    <row r="492" spans="1:9">
      <c r="D492" s="1822"/>
      <c r="E492" s="1822"/>
      <c r="F492" s="1822"/>
      <c r="I492" s="490"/>
    </row>
    <row r="493" spans="1:9">
      <c r="D493" s="446"/>
      <c r="E493" s="446"/>
      <c r="F493" s="446"/>
      <c r="I493" s="490"/>
    </row>
    <row r="494" spans="1:9">
      <c r="B494" s="485" t="s">
        <v>2792</v>
      </c>
      <c r="D494" s="1823" t="s">
        <v>1140</v>
      </c>
      <c r="E494" s="1823"/>
      <c r="F494" s="1823"/>
      <c r="I494" s="490"/>
    </row>
    <row r="495" spans="1:9">
      <c r="A495" s="446"/>
      <c r="B495" s="446"/>
      <c r="I495" s="490"/>
    </row>
    <row r="496" spans="1:9">
      <c r="A496" s="1825" t="s">
        <v>1050</v>
      </c>
      <c r="B496" s="1825"/>
      <c r="C496" s="1825"/>
      <c r="D496" s="1825"/>
      <c r="E496" s="1825"/>
      <c r="F496" s="1825"/>
      <c r="G496" s="1825"/>
      <c r="H496" s="1023"/>
      <c r="I496" s="1147"/>
    </row>
    <row r="497" spans="1:9">
      <c r="A497" s="446"/>
      <c r="B497" s="446"/>
      <c r="I497" s="490"/>
    </row>
    <row r="498" spans="1:9">
      <c r="D498" s="1835" t="s">
        <v>883</v>
      </c>
      <c r="E498" s="1835"/>
      <c r="F498" s="1835"/>
      <c r="I498" s="490"/>
    </row>
    <row r="499" spans="1:9" ht="14.25">
      <c r="A499" s="484"/>
      <c r="B499" s="484"/>
      <c r="D499" s="1836" t="s">
        <v>1141</v>
      </c>
      <c r="E499" s="1836"/>
      <c r="F499" s="1836"/>
      <c r="I499" s="490"/>
    </row>
    <row r="500" spans="1:9" ht="14.25">
      <c r="A500" s="484"/>
      <c r="B500" s="484"/>
      <c r="D500" s="447"/>
      <c r="I500" s="490"/>
    </row>
    <row r="501" spans="1:9" ht="14.25">
      <c r="A501" s="484"/>
      <c r="B501" s="485" t="s">
        <v>2791</v>
      </c>
      <c r="D501" s="1803" t="s">
        <v>1142</v>
      </c>
      <c r="E501" s="1803"/>
      <c r="F501" s="1803"/>
      <c r="I501" s="490"/>
    </row>
    <row r="502" spans="1:9" ht="14.25">
      <c r="A502" s="484"/>
      <c r="B502" s="484"/>
      <c r="D502" s="1803"/>
      <c r="E502" s="1803"/>
      <c r="F502" s="1803"/>
      <c r="I502" s="490"/>
    </row>
    <row r="503" spans="1:9" ht="14.25">
      <c r="A503" s="484"/>
      <c r="B503" s="484"/>
      <c r="D503" s="446"/>
      <c r="I503" s="490"/>
    </row>
    <row r="504" spans="1:9" ht="12.75" customHeight="1">
      <c r="B504" s="485" t="s">
        <v>2791</v>
      </c>
      <c r="D504" s="1826" t="s">
        <v>1273</v>
      </c>
      <c r="E504" s="1826"/>
      <c r="F504" s="1826"/>
      <c r="I504" s="490"/>
    </row>
    <row r="505" spans="1:9" ht="14.25">
      <c r="A505" s="484"/>
      <c r="D505" s="1826"/>
      <c r="E505" s="1826"/>
      <c r="F505" s="1826"/>
      <c r="I505" s="490"/>
    </row>
    <row r="506" spans="1:9" ht="14.25">
      <c r="A506" s="484"/>
      <c r="B506" s="484"/>
      <c r="D506" s="1826"/>
      <c r="E506" s="1826"/>
      <c r="F506" s="1826"/>
      <c r="I506" s="490"/>
    </row>
    <row r="507" spans="1:9" ht="14.25">
      <c r="A507" s="484"/>
      <c r="B507" s="484"/>
      <c r="D507" s="1826"/>
      <c r="E507" s="1826"/>
      <c r="F507" s="1826"/>
      <c r="I507" s="490"/>
    </row>
    <row r="508" spans="1:9" ht="14.25">
      <c r="A508" s="484"/>
      <c r="D508" s="520"/>
      <c r="E508" s="520"/>
      <c r="F508" s="520"/>
      <c r="I508" s="490"/>
    </row>
    <row r="509" spans="1:9" ht="14.25">
      <c r="A509" s="484"/>
      <c r="B509" s="485" t="s">
        <v>2791</v>
      </c>
      <c r="D509" s="1823" t="s">
        <v>1143</v>
      </c>
      <c r="E509" s="1823"/>
      <c r="F509" s="1823"/>
      <c r="I509" s="490"/>
    </row>
    <row r="510" spans="1:9" ht="14.25">
      <c r="A510" s="484"/>
      <c r="B510" s="484"/>
      <c r="D510" s="446"/>
      <c r="I510" s="490"/>
    </row>
    <row r="511" spans="1:9" ht="14.25">
      <c r="A511" s="484"/>
      <c r="B511" s="485" t="s">
        <v>2791</v>
      </c>
      <c r="D511" s="1822" t="s">
        <v>1144</v>
      </c>
      <c r="E511" s="1822"/>
      <c r="F511" s="1822"/>
      <c r="I511" s="490"/>
    </row>
    <row r="512" spans="1:9" ht="14.25">
      <c r="A512" s="484"/>
      <c r="D512" s="1822"/>
      <c r="E512" s="1822"/>
      <c r="F512" s="1822"/>
      <c r="I512" s="490"/>
    </row>
    <row r="513" spans="1:9">
      <c r="A513" s="490"/>
      <c r="B513" s="490"/>
      <c r="D513" s="447"/>
      <c r="I513" s="490"/>
    </row>
    <row r="514" spans="1:9">
      <c r="A514" s="490"/>
      <c r="B514" s="485" t="s">
        <v>2792</v>
      </c>
      <c r="D514" s="1823" t="s">
        <v>1145</v>
      </c>
      <c r="E514" s="1823"/>
      <c r="F514" s="1823"/>
      <c r="I514" s="490"/>
    </row>
    <row r="515" spans="1:9">
      <c r="D515" s="446"/>
      <c r="E515" s="446"/>
      <c r="F515" s="446"/>
      <c r="I515" s="490"/>
    </row>
    <row r="516" spans="1:9">
      <c r="B516" s="485" t="s">
        <v>2792</v>
      </c>
      <c r="D516" s="1822" t="s">
        <v>2220</v>
      </c>
      <c r="E516" s="1822"/>
      <c r="F516" s="1822"/>
      <c r="I516" s="490"/>
    </row>
    <row r="517" spans="1:9">
      <c r="D517" s="1822"/>
      <c r="E517" s="1822"/>
      <c r="F517" s="1822"/>
      <c r="I517" s="490"/>
    </row>
    <row r="518" spans="1:9">
      <c r="D518" s="1822"/>
      <c r="E518" s="1822"/>
      <c r="F518" s="1822"/>
      <c r="I518" s="490"/>
    </row>
    <row r="519" spans="1:9">
      <c r="D519" s="446"/>
      <c r="E519" s="446"/>
      <c r="F519" s="446"/>
      <c r="I519" s="490"/>
    </row>
    <row r="520" spans="1:9" ht="14.25">
      <c r="A520" s="484"/>
      <c r="B520" s="484"/>
      <c r="D520" s="446"/>
      <c r="I520" s="490"/>
    </row>
    <row r="521" spans="1:9">
      <c r="A521" s="1825" t="s">
        <v>1051</v>
      </c>
      <c r="B521" s="1825"/>
      <c r="C521" s="1825"/>
      <c r="D521" s="1825"/>
      <c r="E521" s="1825"/>
      <c r="F521" s="1825"/>
      <c r="G521" s="1825"/>
      <c r="H521" s="1023"/>
      <c r="I521" s="1147"/>
    </row>
    <row r="522" spans="1:9" ht="12" customHeight="1">
      <c r="A522" s="484"/>
      <c r="B522" s="484"/>
      <c r="D522" s="446"/>
      <c r="I522" s="490"/>
    </row>
    <row r="523" spans="1:9">
      <c r="C523" s="482"/>
      <c r="D523" s="1831" t="s">
        <v>793</v>
      </c>
      <c r="E523" s="1831"/>
      <c r="F523" s="183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2791</v>
      </c>
      <c r="C527" s="483"/>
      <c r="D527" s="1803" t="s">
        <v>2018</v>
      </c>
      <c r="E527" s="1803"/>
      <c r="F527" s="1803"/>
      <c r="I527" s="490"/>
    </row>
    <row r="528" spans="1:9">
      <c r="A528" s="483"/>
      <c r="B528" s="483"/>
      <c r="C528" s="483"/>
      <c r="D528" s="1803"/>
      <c r="E528" s="1803"/>
      <c r="F528" s="1803"/>
      <c r="I528" s="490"/>
    </row>
    <row r="529" spans="1:9">
      <c r="A529" s="483"/>
      <c r="B529" s="483"/>
      <c r="C529" s="483"/>
      <c r="D529" s="451"/>
      <c r="E529" s="451"/>
      <c r="F529" s="451"/>
      <c r="I529" s="480"/>
    </row>
    <row r="530" spans="1:9" ht="12.75" customHeight="1">
      <c r="A530" s="483"/>
      <c r="B530" s="485" t="s">
        <v>2791</v>
      </c>
      <c r="D530" s="386" t="s">
        <v>1876</v>
      </c>
      <c r="E530" s="385"/>
      <c r="F530" s="385"/>
      <c r="I530" s="490"/>
    </row>
    <row r="531" spans="1:9">
      <c r="A531" s="483"/>
      <c r="B531" s="483"/>
      <c r="C531" s="483"/>
      <c r="D531" s="385"/>
      <c r="E531" s="96" t="s">
        <v>1877</v>
      </c>
      <c r="I531" s="490"/>
    </row>
    <row r="532" spans="1:9">
      <c r="A532" s="483"/>
      <c r="B532" s="483"/>
      <c r="D532" s="1818" t="s">
        <v>2019</v>
      </c>
      <c r="E532" s="1818"/>
      <c r="F532" s="1818"/>
      <c r="I532" s="490"/>
    </row>
    <row r="533" spans="1:9">
      <c r="A533" s="483"/>
      <c r="B533" s="483"/>
      <c r="D533" s="1818"/>
      <c r="E533" s="1818"/>
      <c r="F533" s="1818"/>
      <c r="I533" s="490"/>
    </row>
    <row r="534" spans="1:9">
      <c r="A534" s="483"/>
      <c r="B534" s="483"/>
      <c r="C534" s="483"/>
      <c r="D534" s="1818"/>
      <c r="E534" s="1818"/>
      <c r="F534" s="1818"/>
      <c r="I534" s="490"/>
    </row>
    <row r="535" spans="1:9">
      <c r="A535" s="483"/>
      <c r="B535" s="483"/>
      <c r="C535" s="483"/>
      <c r="D535" s="498"/>
      <c r="F535" s="446"/>
      <c r="I535" s="490"/>
    </row>
    <row r="536" spans="1:9" ht="13.15" customHeight="1">
      <c r="A536" s="483"/>
      <c r="B536" s="485" t="s">
        <v>2792</v>
      </c>
      <c r="C536" s="483"/>
      <c r="D536" s="1822" t="s">
        <v>2631</v>
      </c>
      <c r="E536" s="1822"/>
      <c r="F536" s="1822"/>
      <c r="I536" s="490"/>
    </row>
    <row r="537" spans="1:9" ht="13.15" customHeight="1">
      <c r="A537" s="483"/>
      <c r="B537" s="483"/>
      <c r="C537" s="483"/>
      <c r="D537" s="1822"/>
      <c r="E537" s="1822"/>
      <c r="F537" s="1822"/>
      <c r="I537" s="490"/>
    </row>
    <row r="538" spans="1:9">
      <c r="A538" s="483"/>
      <c r="B538" s="483"/>
      <c r="C538" s="483"/>
      <c r="D538" s="1822"/>
      <c r="E538" s="1822"/>
      <c r="F538" s="1822"/>
      <c r="I538" s="490"/>
    </row>
    <row r="539" spans="1:9" ht="12" customHeight="1">
      <c r="A539" s="446"/>
      <c r="B539" s="446"/>
      <c r="C539" s="487"/>
      <c r="D539" s="446"/>
      <c r="F539" s="448"/>
      <c r="I539" s="490"/>
    </row>
    <row r="540" spans="1:9">
      <c r="A540" s="1825" t="s">
        <v>1052</v>
      </c>
      <c r="B540" s="1825"/>
      <c r="C540" s="1825"/>
      <c r="D540" s="1825"/>
      <c r="E540" s="1825"/>
      <c r="F540" s="1825"/>
      <c r="G540" s="1825"/>
      <c r="H540" s="1023"/>
      <c r="I540" s="1147"/>
    </row>
    <row r="541" spans="1:9">
      <c r="A541" s="446"/>
      <c r="B541" s="446"/>
      <c r="C541" s="487"/>
      <c r="F541" s="448"/>
      <c r="I541" s="490"/>
    </row>
    <row r="542" spans="1:9">
      <c r="B542" s="1829" t="s">
        <v>446</v>
      </c>
      <c r="C542" s="1829"/>
      <c r="D542" s="1829"/>
      <c r="E542" s="1829"/>
      <c r="F542" s="1829"/>
      <c r="I542" s="490"/>
    </row>
    <row r="543" spans="1:9">
      <c r="A543" s="446"/>
      <c r="B543" s="446"/>
      <c r="C543" s="487"/>
      <c r="D543" s="446"/>
      <c r="F543" s="446"/>
      <c r="I543" s="490"/>
    </row>
    <row r="544" spans="1:9">
      <c r="A544" s="1830" t="s">
        <v>1053</v>
      </c>
      <c r="B544" s="1830"/>
      <c r="C544" s="1830"/>
      <c r="D544" s="1830"/>
      <c r="E544" s="1830"/>
      <c r="F544" s="1830"/>
      <c r="G544" s="1830"/>
      <c r="H544" s="1023"/>
      <c r="I544" s="1147"/>
    </row>
    <row r="545" spans="1:9">
      <c r="A545" s="446"/>
      <c r="B545" s="446"/>
      <c r="C545" s="487"/>
      <c r="D545" s="446"/>
      <c r="F545" s="446"/>
      <c r="I545" s="490"/>
    </row>
    <row r="546" spans="1:9">
      <c r="C546" s="487"/>
      <c r="D546" s="1831" t="s">
        <v>683</v>
      </c>
      <c r="E546" s="1831"/>
      <c r="F546" s="1831"/>
      <c r="I546" s="490"/>
    </row>
    <row r="547" spans="1:9">
      <c r="C547" s="487"/>
      <c r="D547" s="1823" t="s">
        <v>1081</v>
      </c>
      <c r="E547" s="1823"/>
      <c r="F547" s="1823"/>
      <c r="I547" s="490"/>
    </row>
    <row r="548" spans="1:9">
      <c r="C548" s="487"/>
      <c r="D548" s="446"/>
      <c r="E548" s="446"/>
      <c r="F548" s="446"/>
      <c r="I548" s="490"/>
    </row>
    <row r="549" spans="1:9" ht="13.7" customHeight="1">
      <c r="A549" s="484"/>
      <c r="B549" s="485" t="s">
        <v>2791</v>
      </c>
      <c r="C549" s="487"/>
      <c r="D549" s="1823" t="s">
        <v>884</v>
      </c>
      <c r="E549" s="1823"/>
      <c r="F549" s="1823"/>
      <c r="I549" s="490"/>
    </row>
    <row r="550" spans="1:9" ht="13.7" customHeight="1">
      <c r="A550" s="487"/>
      <c r="B550" s="487"/>
      <c r="C550" s="487"/>
      <c r="D550" s="446"/>
      <c r="I550" s="490"/>
    </row>
    <row r="551" spans="1:9" ht="14.25">
      <c r="A551" s="484"/>
      <c r="B551" s="485" t="s">
        <v>2791</v>
      </c>
      <c r="C551" s="487"/>
      <c r="D551" s="1822" t="s">
        <v>1082</v>
      </c>
      <c r="E551" s="1822"/>
      <c r="F551" s="1822"/>
      <c r="I551" s="490"/>
    </row>
    <row r="552" spans="1:9">
      <c r="A552" s="487"/>
      <c r="B552" s="487"/>
      <c r="C552" s="487"/>
      <c r="D552" s="1822"/>
      <c r="E552" s="1822"/>
      <c r="F552" s="1822"/>
      <c r="I552" s="490"/>
    </row>
    <row r="553" spans="1:9">
      <c r="A553" s="487"/>
      <c r="B553" s="487"/>
      <c r="C553" s="487"/>
      <c r="D553" s="446"/>
      <c r="E553" s="446"/>
      <c r="F553" s="446"/>
      <c r="I553" s="490"/>
    </row>
    <row r="554" spans="1:9" ht="14.25">
      <c r="A554" s="484"/>
      <c r="B554" s="485" t="s">
        <v>2791</v>
      </c>
      <c r="C554" s="487"/>
      <c r="D554" s="1822" t="s">
        <v>1083</v>
      </c>
      <c r="E554" s="1822"/>
      <c r="F554" s="1822"/>
      <c r="I554" s="490"/>
    </row>
    <row r="555" spans="1:9">
      <c r="A555" s="487"/>
      <c r="B555" s="487"/>
      <c r="C555" s="487"/>
      <c r="D555" s="1822"/>
      <c r="E555" s="1822"/>
      <c r="F555" s="1822"/>
      <c r="I555" s="490"/>
    </row>
    <row r="556" spans="1:9">
      <c r="A556" s="487"/>
      <c r="B556" s="487"/>
      <c r="C556" s="487"/>
      <c r="D556" s="446"/>
      <c r="E556" s="446"/>
      <c r="F556" s="446"/>
      <c r="I556" s="490"/>
    </row>
    <row r="557" spans="1:9" ht="14.25">
      <c r="A557" s="484"/>
      <c r="B557" s="485" t="s">
        <v>2791</v>
      </c>
      <c r="C557" s="487"/>
      <c r="D557" s="1822" t="s">
        <v>1084</v>
      </c>
      <c r="E557" s="1822"/>
      <c r="F557" s="1822"/>
      <c r="I557" s="490"/>
    </row>
    <row r="558" spans="1:9">
      <c r="A558" s="487"/>
      <c r="B558" s="487"/>
      <c r="C558" s="487"/>
      <c r="D558" s="1822"/>
      <c r="E558" s="1822"/>
      <c r="F558" s="1822"/>
      <c r="I558" s="490"/>
    </row>
    <row r="559" spans="1:9">
      <c r="A559" s="487"/>
      <c r="B559" s="487"/>
      <c r="C559" s="487"/>
      <c r="D559" s="446"/>
      <c r="E559" s="446"/>
      <c r="F559" s="446"/>
      <c r="I559" s="490"/>
    </row>
    <row r="560" spans="1:9" ht="14.25">
      <c r="A560" s="484"/>
      <c r="B560" s="485" t="s">
        <v>2791</v>
      </c>
      <c r="C560" s="487"/>
      <c r="D560" s="1822" t="s">
        <v>1085</v>
      </c>
      <c r="E560" s="1822"/>
      <c r="F560" s="1822"/>
      <c r="I560" s="490"/>
    </row>
    <row r="561" spans="1:9">
      <c r="A561" s="487"/>
      <c r="B561" s="487"/>
      <c r="C561" s="487"/>
      <c r="D561" s="1822"/>
      <c r="E561" s="1822"/>
      <c r="F561" s="1822"/>
      <c r="I561" s="490"/>
    </row>
    <row r="562" spans="1:9">
      <c r="A562" s="487"/>
      <c r="B562" s="487"/>
      <c r="C562" s="487"/>
      <c r="D562" s="1822"/>
      <c r="E562" s="1822"/>
      <c r="F562" s="1822"/>
      <c r="I562" s="490"/>
    </row>
    <row r="563" spans="1:9">
      <c r="A563" s="487"/>
      <c r="B563" s="487"/>
      <c r="C563" s="487"/>
      <c r="D563" s="446"/>
      <c r="E563" s="446"/>
      <c r="F563" s="446"/>
      <c r="I563" s="490"/>
    </row>
    <row r="564" spans="1:9" ht="14.25">
      <c r="A564" s="484"/>
      <c r="B564" s="485" t="s">
        <v>2792</v>
      </c>
      <c r="C564" s="487"/>
      <c r="D564" s="1822" t="s">
        <v>2199</v>
      </c>
      <c r="E564" s="1822"/>
      <c r="F564" s="1822"/>
      <c r="I564" s="490"/>
    </row>
    <row r="565" spans="1:9">
      <c r="A565" s="487"/>
      <c r="B565" s="487"/>
      <c r="C565" s="487"/>
      <c r="D565" s="1822"/>
      <c r="E565" s="1822"/>
      <c r="F565" s="1822"/>
      <c r="I565" s="490"/>
    </row>
    <row r="566" spans="1:9">
      <c r="A566" s="487"/>
      <c r="B566" s="487"/>
      <c r="C566" s="487"/>
      <c r="D566" s="446"/>
      <c r="E566" s="446"/>
      <c r="F566" s="446"/>
      <c r="I566" s="490"/>
    </row>
    <row r="567" spans="1:9" ht="14.25">
      <c r="A567" s="484"/>
      <c r="B567" s="485" t="s">
        <v>2792</v>
      </c>
      <c r="C567" s="487"/>
      <c r="D567" s="1822" t="s">
        <v>1086</v>
      </c>
      <c r="E567" s="1822"/>
      <c r="F567" s="1822"/>
      <c r="I567" s="490"/>
    </row>
    <row r="568" spans="1:9">
      <c r="A568" s="487"/>
      <c r="B568" s="487"/>
      <c r="C568" s="487"/>
      <c r="D568" s="1822"/>
      <c r="E568" s="1822"/>
      <c r="F568" s="1822"/>
      <c r="I568" s="490"/>
    </row>
    <row r="569" spans="1:9">
      <c r="A569" s="487"/>
      <c r="B569" s="487"/>
      <c r="C569" s="487"/>
      <c r="D569" s="446"/>
      <c r="E569" s="446"/>
      <c r="F569" s="446"/>
      <c r="I569" s="490"/>
    </row>
    <row r="570" spans="1:9" ht="14.25">
      <c r="A570" s="484"/>
      <c r="B570" s="485" t="s">
        <v>2791</v>
      </c>
      <c r="C570" s="487"/>
      <c r="D570" s="1823" t="s">
        <v>1087</v>
      </c>
      <c r="E570" s="1823"/>
      <c r="F570" s="1823"/>
      <c r="I570" s="490"/>
    </row>
    <row r="571" spans="1:9">
      <c r="A571" s="490"/>
      <c r="B571" s="490"/>
      <c r="C571" s="487"/>
      <c r="D571" s="1823" t="s">
        <v>1879</v>
      </c>
      <c r="E571" s="1823"/>
      <c r="F571" s="1823"/>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2791</v>
      </c>
      <c r="C574" s="487"/>
      <c r="D574" s="1823" t="s">
        <v>1088</v>
      </c>
      <c r="E574" s="1823"/>
      <c r="F574" s="1823"/>
      <c r="I574" s="490"/>
    </row>
    <row r="575" spans="1:9">
      <c r="C575" s="487"/>
      <c r="D575" s="1822" t="s">
        <v>1089</v>
      </c>
      <c r="E575" s="1822"/>
      <c r="F575" s="1822"/>
      <c r="I575" s="490"/>
    </row>
    <row r="576" spans="1:9">
      <c r="A576" s="487"/>
      <c r="B576" s="487"/>
      <c r="C576" s="487"/>
      <c r="D576" s="1822"/>
      <c r="E576" s="1822"/>
      <c r="F576" s="1822"/>
      <c r="I576" s="490"/>
    </row>
    <row r="577" spans="1:9">
      <c r="A577" s="487"/>
      <c r="B577" s="487"/>
      <c r="C577" s="487"/>
      <c r="D577" s="1822"/>
      <c r="E577" s="1822"/>
      <c r="F577" s="1822"/>
      <c r="I577" s="490"/>
    </row>
    <row r="578" spans="1:9">
      <c r="A578" s="487"/>
      <c r="B578" s="487"/>
      <c r="C578" s="487"/>
      <c r="D578" s="446"/>
      <c r="E578" s="446"/>
      <c r="F578" s="446"/>
      <c r="I578" s="490"/>
    </row>
    <row r="579" spans="1:9" ht="14.25">
      <c r="A579" s="484"/>
      <c r="B579" s="485" t="s">
        <v>2791</v>
      </c>
      <c r="C579" s="487"/>
      <c r="D579" s="1822" t="s">
        <v>2020</v>
      </c>
      <c r="E579" s="1822"/>
      <c r="F579" s="1822"/>
      <c r="I579" s="490"/>
    </row>
    <row r="580" spans="1:9" ht="14.25">
      <c r="A580" s="484"/>
      <c r="B580" s="484"/>
      <c r="C580" s="487"/>
      <c r="D580" s="1822"/>
      <c r="E580" s="1822"/>
      <c r="F580" s="1822"/>
      <c r="I580" s="490"/>
    </row>
    <row r="581" spans="1:9" ht="14.25">
      <c r="A581" s="484"/>
      <c r="B581" s="484"/>
      <c r="C581" s="487"/>
      <c r="D581" s="1822"/>
      <c r="E581" s="1822"/>
      <c r="F581" s="1822"/>
      <c r="I581" s="490"/>
    </row>
    <row r="582" spans="1:9" ht="14.25">
      <c r="A582" s="484"/>
      <c r="B582" s="484"/>
      <c r="C582" s="487"/>
      <c r="D582" s="1822"/>
      <c r="E582" s="1822"/>
      <c r="F582" s="1822"/>
      <c r="I582" s="490"/>
    </row>
    <row r="583" spans="1:9" ht="14.25">
      <c r="A583" s="484"/>
      <c r="B583" s="484"/>
      <c r="C583" s="487"/>
      <c r="D583" s="446"/>
      <c r="E583" s="446"/>
      <c r="F583" s="446"/>
      <c r="I583" s="490"/>
    </row>
    <row r="584" spans="1:9">
      <c r="A584" s="1825" t="s">
        <v>1054</v>
      </c>
      <c r="B584" s="1825"/>
      <c r="C584" s="1825"/>
      <c r="D584" s="1825"/>
      <c r="E584" s="1825"/>
      <c r="F584" s="1825"/>
      <c r="G584" s="1825"/>
      <c r="H584" s="1023"/>
      <c r="I584" s="1147"/>
    </row>
    <row r="585" spans="1:9">
      <c r="A585" s="487"/>
      <c r="B585" s="487"/>
      <c r="C585" s="487"/>
      <c r="E585" s="446"/>
      <c r="F585" s="446"/>
      <c r="I585" s="490"/>
    </row>
    <row r="586" spans="1:9" ht="12.75" customHeight="1">
      <c r="C586" s="482"/>
      <c r="D586" s="1824" t="s">
        <v>210</v>
      </c>
      <c r="E586" s="1824"/>
      <c r="F586" s="1824"/>
      <c r="I586" s="490"/>
    </row>
    <row r="587" spans="1:9">
      <c r="A587" s="483"/>
      <c r="B587" s="483"/>
      <c r="C587" s="483"/>
      <c r="D587" s="1826" t="s">
        <v>1067</v>
      </c>
      <c r="E587" s="1826"/>
      <c r="F587" s="1826"/>
      <c r="I587" s="490"/>
    </row>
    <row r="588" spans="1:9">
      <c r="A588" s="402"/>
      <c r="B588" s="402"/>
      <c r="C588" s="483"/>
      <c r="D588" s="499"/>
      <c r="I588" s="490"/>
    </row>
    <row r="589" spans="1:9">
      <c r="A589" s="483"/>
      <c r="B589" s="485" t="s">
        <v>2791</v>
      </c>
      <c r="D589" s="1826" t="s">
        <v>888</v>
      </c>
      <c r="E589" s="1826"/>
      <c r="F589" s="1826"/>
      <c r="I589" s="490"/>
    </row>
    <row r="590" spans="1:9">
      <c r="A590" s="490"/>
      <c r="B590" s="490"/>
      <c r="D590" s="476"/>
      <c r="I590" s="490"/>
    </row>
    <row r="591" spans="1:9">
      <c r="A591" s="490"/>
      <c r="B591" s="485" t="s">
        <v>2791</v>
      </c>
      <c r="D591" s="1826" t="s">
        <v>2021</v>
      </c>
      <c r="E591" s="1826"/>
      <c r="F591" s="1826"/>
      <c r="I591" s="490"/>
    </row>
    <row r="592" spans="1:9">
      <c r="A592" s="490"/>
      <c r="B592" s="490"/>
      <c r="D592" s="1826"/>
      <c r="E592" s="1826"/>
      <c r="F592" s="1826"/>
      <c r="I592" s="490"/>
    </row>
    <row r="593" spans="1:9">
      <c r="A593" s="490"/>
      <c r="B593" s="490"/>
      <c r="D593" s="1826"/>
      <c r="E593" s="1826"/>
      <c r="F593" s="1826"/>
      <c r="I593" s="490"/>
    </row>
    <row r="594" spans="1:9">
      <c r="A594" s="490"/>
      <c r="B594" s="490"/>
      <c r="D594" s="1826"/>
      <c r="E594" s="1826"/>
      <c r="F594" s="1826"/>
      <c r="I594" s="490"/>
    </row>
    <row r="595" spans="1:9">
      <c r="A595" s="490"/>
      <c r="B595" s="485" t="s">
        <v>2792</v>
      </c>
      <c r="D595" s="1826" t="s">
        <v>1068</v>
      </c>
      <c r="E595" s="1826"/>
      <c r="F595" s="1826"/>
      <c r="I595" s="490"/>
    </row>
    <row r="596" spans="1:9">
      <c r="A596" s="490"/>
      <c r="B596" s="490"/>
      <c r="D596" s="1826"/>
      <c r="E596" s="1826"/>
      <c r="F596" s="1826"/>
      <c r="I596" s="490"/>
    </row>
    <row r="597" spans="1:9">
      <c r="A597" s="490"/>
      <c r="B597" s="490"/>
      <c r="D597" s="1826"/>
      <c r="E597" s="1826"/>
      <c r="F597" s="1826"/>
      <c r="I597" s="490"/>
    </row>
    <row r="598" spans="1:9">
      <c r="A598" s="490"/>
      <c r="B598" s="490"/>
      <c r="D598" s="1826"/>
      <c r="E598" s="1826"/>
      <c r="F598" s="1826"/>
      <c r="I598" s="490"/>
    </row>
    <row r="599" spans="1:9">
      <c r="A599" s="490"/>
      <c r="B599" s="490"/>
      <c r="D599" s="440"/>
      <c r="E599" s="440"/>
      <c r="F599" s="440"/>
      <c r="I599" s="490"/>
    </row>
    <row r="600" spans="1:9">
      <c r="A600" s="490"/>
      <c r="B600" s="485" t="s">
        <v>2791</v>
      </c>
      <c r="D600" s="1826" t="s">
        <v>2022</v>
      </c>
      <c r="E600" s="1826"/>
      <c r="F600" s="1826"/>
      <c r="I600" s="490"/>
    </row>
    <row r="601" spans="1:9">
      <c r="A601" s="490"/>
      <c r="B601" s="490"/>
      <c r="D601" s="1826"/>
      <c r="E601" s="1826"/>
      <c r="F601" s="1826"/>
      <c r="I601" s="490"/>
    </row>
    <row r="602" spans="1:9">
      <c r="A602" s="490"/>
      <c r="B602" s="490"/>
      <c r="D602" s="499"/>
      <c r="I602" s="490"/>
    </row>
    <row r="603" spans="1:9">
      <c r="A603" s="490"/>
      <c r="B603" s="485" t="s">
        <v>2792</v>
      </c>
      <c r="D603" s="1826" t="s">
        <v>1069</v>
      </c>
      <c r="E603" s="1826"/>
      <c r="F603" s="1826"/>
      <c r="I603" s="490"/>
    </row>
    <row r="604" spans="1:9">
      <c r="A604" s="490"/>
      <c r="B604" s="490"/>
      <c r="D604" s="1826"/>
      <c r="E604" s="1826"/>
      <c r="F604" s="1826"/>
      <c r="I604" s="490"/>
    </row>
    <row r="605" spans="1:9" ht="14.25">
      <c r="A605" s="484"/>
      <c r="B605" s="484"/>
      <c r="D605" s="499"/>
      <c r="I605" s="490"/>
    </row>
    <row r="606" spans="1:9">
      <c r="A606" s="1825" t="s">
        <v>1055</v>
      </c>
      <c r="B606" s="1825"/>
      <c r="C606" s="1825"/>
      <c r="D606" s="1825"/>
      <c r="E606" s="1825"/>
      <c r="F606" s="1825"/>
      <c r="G606" s="1825"/>
      <c r="H606" s="1023"/>
      <c r="I606" s="1147"/>
    </row>
    <row r="607" spans="1:9">
      <c r="I607" s="490"/>
    </row>
    <row r="608" spans="1:9">
      <c r="D608" s="1831" t="s">
        <v>1107</v>
      </c>
      <c r="E608" s="1831"/>
      <c r="F608" s="1831"/>
      <c r="I608" s="490"/>
    </row>
    <row r="609" spans="1:9">
      <c r="D609" s="1832" t="s">
        <v>1108</v>
      </c>
      <c r="E609" s="1832"/>
      <c r="F609" s="1832"/>
      <c r="I609" s="490"/>
    </row>
    <row r="610" spans="1:9">
      <c r="D610" s="444"/>
      <c r="I610" s="490"/>
    </row>
    <row r="611" spans="1:9" ht="14.25" customHeight="1">
      <c r="A611" s="484"/>
      <c r="B611" s="485" t="s">
        <v>2791</v>
      </c>
      <c r="D611" s="1849" t="s">
        <v>1880</v>
      </c>
      <c r="E611" s="1849"/>
      <c r="F611" s="1849"/>
      <c r="I611" s="490"/>
    </row>
    <row r="612" spans="1:9">
      <c r="D612" s="1849"/>
      <c r="E612" s="1849"/>
      <c r="F612" s="1849"/>
      <c r="I612" s="490"/>
    </row>
    <row r="613" spans="1:9">
      <c r="D613" s="385"/>
      <c r="E613" s="1031" t="s">
        <v>1881</v>
      </c>
      <c r="F613" s="385"/>
      <c r="I613" s="490"/>
    </row>
    <row r="614" spans="1:9">
      <c r="I614" s="490"/>
    </row>
    <row r="615" spans="1:9">
      <c r="A615" s="1825" t="s">
        <v>1056</v>
      </c>
      <c r="B615" s="1825"/>
      <c r="C615" s="1825"/>
      <c r="D615" s="1825"/>
      <c r="E615" s="1825"/>
      <c r="F615" s="1825"/>
      <c r="G615" s="1825"/>
      <c r="H615" s="1023"/>
      <c r="I615" s="1147"/>
    </row>
    <row r="616" spans="1:9">
      <c r="A616" s="446"/>
      <c r="B616" s="446"/>
      <c r="I616" s="490"/>
    </row>
    <row r="617" spans="1:9">
      <c r="A617" s="482"/>
      <c r="B617" s="482"/>
      <c r="C617" s="482"/>
      <c r="D617" s="1856" t="s">
        <v>1109</v>
      </c>
      <c r="E617" s="1856"/>
      <c r="F617" s="1856"/>
      <c r="I617" s="490"/>
    </row>
    <row r="618" spans="1:9">
      <c r="A618" s="482"/>
      <c r="B618" s="482"/>
      <c r="C618" s="482"/>
      <c r="D618" s="1856"/>
      <c r="E618" s="1856"/>
      <c r="F618" s="1856"/>
      <c r="I618" s="490"/>
    </row>
    <row r="619" spans="1:9">
      <c r="C619" s="483"/>
      <c r="D619" s="1832" t="s">
        <v>1110</v>
      </c>
      <c r="E619" s="1832"/>
      <c r="F619" s="1832"/>
      <c r="I619" s="490"/>
    </row>
    <row r="620" spans="1:9">
      <c r="C620" s="483"/>
      <c r="D620" s="444"/>
      <c r="E620" s="444"/>
      <c r="F620" s="444"/>
      <c r="I620" s="490"/>
    </row>
    <row r="621" spans="1:9">
      <c r="B621" s="485" t="s">
        <v>2791</v>
      </c>
      <c r="C621" s="483"/>
      <c r="D621" s="1838" t="s">
        <v>2598</v>
      </c>
      <c r="E621" s="1838"/>
      <c r="F621" s="1838"/>
      <c r="I621" s="490"/>
    </row>
    <row r="622" spans="1:9">
      <c r="C622" s="483"/>
      <c r="D622" s="444"/>
      <c r="E622" s="444"/>
      <c r="F622" s="444"/>
      <c r="I622" s="490"/>
    </row>
    <row r="623" spans="1:9" ht="12.75" customHeight="1">
      <c r="A623" s="490"/>
      <c r="B623" s="485" t="s">
        <v>2791</v>
      </c>
      <c r="D623" s="1833" t="s">
        <v>1111</v>
      </c>
      <c r="E623" s="1833"/>
      <c r="F623" s="1833"/>
      <c r="I623" s="490"/>
    </row>
    <row r="624" spans="1:9">
      <c r="D624" s="1833"/>
      <c r="E624" s="1833"/>
      <c r="F624" s="1833"/>
      <c r="I624" s="490"/>
    </row>
    <row r="625" spans="1:9">
      <c r="I625" s="490"/>
    </row>
    <row r="626" spans="1:9">
      <c r="B626" s="485" t="s">
        <v>2791</v>
      </c>
      <c r="D626" s="1833" t="s">
        <v>1112</v>
      </c>
      <c r="E626" s="1833"/>
      <c r="F626" s="1833"/>
      <c r="I626" s="490"/>
    </row>
    <row r="627" spans="1:9">
      <c r="C627" s="500"/>
      <c r="D627" s="1833"/>
      <c r="E627" s="1833"/>
      <c r="F627" s="1833"/>
      <c r="I627" s="490"/>
    </row>
    <row r="628" spans="1:9">
      <c r="C628" s="500"/>
      <c r="I628" s="490"/>
    </row>
    <row r="629" spans="1:9">
      <c r="B629" s="485" t="s">
        <v>2792</v>
      </c>
      <c r="C629" s="500"/>
      <c r="D629" s="1833" t="s">
        <v>1113</v>
      </c>
      <c r="E629" s="1833"/>
      <c r="F629" s="1833"/>
      <c r="I629" s="490"/>
    </row>
    <row r="630" spans="1:9">
      <c r="C630" s="500"/>
      <c r="D630" s="1833"/>
      <c r="E630" s="1833"/>
      <c r="F630" s="1833"/>
      <c r="I630" s="500"/>
    </row>
    <row r="631" spans="1:9">
      <c r="C631" s="500"/>
      <c r="I631" s="490"/>
    </row>
    <row r="632" spans="1:9">
      <c r="B632" s="485" t="s">
        <v>2792</v>
      </c>
      <c r="C632" s="500"/>
      <c r="D632" s="1838" t="s">
        <v>2547</v>
      </c>
      <c r="E632" s="1838"/>
      <c r="F632" s="1838"/>
      <c r="I632" s="490"/>
    </row>
    <row r="633" spans="1:9">
      <c r="C633" s="500"/>
      <c r="I633" s="490"/>
    </row>
    <row r="634" spans="1:9">
      <c r="A634" s="1825" t="s">
        <v>1057</v>
      </c>
      <c r="B634" s="1825"/>
      <c r="C634" s="1825"/>
      <c r="D634" s="1825"/>
      <c r="E634" s="1825"/>
      <c r="F634" s="1825"/>
      <c r="G634" s="1825"/>
      <c r="H634" s="1023"/>
      <c r="I634" s="1147"/>
    </row>
    <row r="635" spans="1:9">
      <c r="A635" s="482"/>
      <c r="B635" s="482"/>
      <c r="C635" s="482"/>
      <c r="I635" s="490"/>
    </row>
    <row r="636" spans="1:9">
      <c r="C636" s="490"/>
      <c r="D636" s="1831" t="s">
        <v>1114</v>
      </c>
      <c r="E636" s="1831"/>
      <c r="F636" s="1831"/>
      <c r="I636" s="490"/>
    </row>
    <row r="637" spans="1:9">
      <c r="A637" s="490"/>
      <c r="B637" s="490"/>
      <c r="D637" s="404"/>
      <c r="I637" s="490"/>
    </row>
    <row r="638" spans="1:9" ht="14.25" customHeight="1">
      <c r="A638" s="484"/>
      <c r="B638" s="485" t="s">
        <v>2791</v>
      </c>
      <c r="D638" s="1849" t="s">
        <v>2023</v>
      </c>
      <c r="E638" s="1849"/>
      <c r="F638" s="1849"/>
      <c r="I638" s="490"/>
    </row>
    <row r="639" spans="1:9">
      <c r="D639" s="1849"/>
      <c r="E639" s="1849"/>
      <c r="F639" s="1849"/>
      <c r="I639" s="490"/>
    </row>
    <row r="640" spans="1:9">
      <c r="D640" s="385"/>
      <c r="E640" s="1031" t="s">
        <v>1883</v>
      </c>
      <c r="F640" s="385"/>
      <c r="I640" s="490"/>
    </row>
    <row r="641" spans="1:9">
      <c r="D641" s="1822" t="s">
        <v>1882</v>
      </c>
      <c r="E641" s="1822"/>
      <c r="F641" s="1822"/>
      <c r="I641" s="490"/>
    </row>
    <row r="642" spans="1:9">
      <c r="D642" s="1822"/>
      <c r="E642" s="1822"/>
      <c r="F642" s="1822"/>
      <c r="I642" s="490"/>
    </row>
    <row r="643" spans="1:9">
      <c r="D643" s="1822"/>
      <c r="E643" s="1822"/>
      <c r="F643" s="1822"/>
      <c r="I643" s="490"/>
    </row>
    <row r="644" spans="1:9">
      <c r="D644" s="445"/>
      <c r="E644" s="445"/>
      <c r="F644" s="445"/>
      <c r="I644" s="490"/>
    </row>
    <row r="645" spans="1:9" ht="14.25">
      <c r="A645" s="484"/>
      <c r="B645" s="485" t="s">
        <v>2792</v>
      </c>
      <c r="D645" s="1822" t="s">
        <v>1115</v>
      </c>
      <c r="E645" s="1822"/>
      <c r="F645" s="1822"/>
      <c r="I645" s="490"/>
    </row>
    <row r="646" spans="1:9">
      <c r="A646" s="487"/>
      <c r="B646" s="487"/>
      <c r="C646" s="487"/>
      <c r="D646" s="1822"/>
      <c r="E646" s="1822"/>
      <c r="F646" s="1822"/>
      <c r="I646" s="490"/>
    </row>
    <row r="647" spans="1:9">
      <c r="A647" s="487"/>
      <c r="B647" s="487"/>
      <c r="C647" s="487"/>
      <c r="D647" s="446"/>
      <c r="E647" s="446"/>
      <c r="F647" s="446"/>
      <c r="I647" s="490"/>
    </row>
    <row r="648" spans="1:9" ht="14.25">
      <c r="A648" s="484"/>
      <c r="B648" s="485" t="s">
        <v>2792</v>
      </c>
      <c r="C648" s="487"/>
      <c r="D648" s="1822" t="s">
        <v>1225</v>
      </c>
      <c r="E648" s="1822"/>
      <c r="F648" s="1822"/>
      <c r="I648" s="490"/>
    </row>
    <row r="649" spans="1:9" ht="14.25">
      <c r="A649" s="484"/>
      <c r="B649" s="484"/>
      <c r="C649" s="487"/>
      <c r="D649" s="1822"/>
      <c r="E649" s="1822"/>
      <c r="F649" s="1822"/>
      <c r="I649" s="490"/>
    </row>
    <row r="650" spans="1:9" ht="14.25">
      <c r="A650" s="484"/>
      <c r="B650" s="484"/>
      <c r="C650" s="487"/>
      <c r="D650" s="1822"/>
      <c r="E650" s="1822"/>
      <c r="F650" s="1822"/>
      <c r="I650" s="490"/>
    </row>
    <row r="651" spans="1:9">
      <c r="A651" s="487"/>
      <c r="B651" s="485" t="s">
        <v>2792</v>
      </c>
      <c r="C651" s="487"/>
      <c r="D651" s="1823" t="s">
        <v>1116</v>
      </c>
      <c r="E651" s="1823"/>
      <c r="F651" s="1823"/>
      <c r="I651" s="490"/>
    </row>
    <row r="652" spans="1:9">
      <c r="A652" s="487"/>
      <c r="B652" s="487"/>
      <c r="C652" s="487"/>
      <c r="D652" s="446"/>
      <c r="E652" s="446"/>
      <c r="F652" s="446"/>
      <c r="I652" s="490"/>
    </row>
    <row r="653" spans="1:9">
      <c r="A653" s="1825" t="s">
        <v>1058</v>
      </c>
      <c r="B653" s="1825"/>
      <c r="C653" s="1825"/>
      <c r="D653" s="1825"/>
      <c r="E653" s="1825"/>
      <c r="F653" s="1825"/>
      <c r="G653" s="1825"/>
      <c r="H653" s="1023"/>
      <c r="I653" s="1147"/>
    </row>
    <row r="654" spans="1:9">
      <c r="A654" s="446"/>
      <c r="B654" s="446"/>
      <c r="C654" s="487"/>
      <c r="D654" s="446"/>
      <c r="E654" s="446"/>
      <c r="F654" s="446"/>
      <c r="I654" s="490"/>
    </row>
    <row r="655" spans="1:9">
      <c r="C655" s="482"/>
      <c r="D655" s="1831" t="s">
        <v>1146</v>
      </c>
      <c r="E655" s="1831"/>
      <c r="F655" s="1831"/>
      <c r="I655" s="490"/>
    </row>
    <row r="656" spans="1:9">
      <c r="A656" s="483"/>
      <c r="B656" s="483"/>
      <c r="C656" s="483"/>
      <c r="D656" s="1823" t="s">
        <v>1147</v>
      </c>
      <c r="E656" s="1823"/>
      <c r="F656" s="1823"/>
      <c r="I656" s="490"/>
    </row>
    <row r="657" spans="1:9">
      <c r="A657" s="483"/>
      <c r="B657" s="483"/>
      <c r="C657" s="483"/>
      <c r="D657" s="446"/>
      <c r="E657" s="446"/>
      <c r="F657" s="446"/>
      <c r="I657" s="490"/>
    </row>
    <row r="658" spans="1:9" ht="12.75" customHeight="1">
      <c r="B658" s="485" t="s">
        <v>2791</v>
      </c>
      <c r="C658" s="487"/>
      <c r="D658" s="1822" t="s">
        <v>1281</v>
      </c>
      <c r="E658" s="1822"/>
      <c r="F658" s="1822"/>
      <c r="I658" s="490"/>
    </row>
    <row r="659" spans="1:9">
      <c r="D659" s="1822"/>
      <c r="E659" s="1822"/>
      <c r="F659" s="1822"/>
      <c r="I659" s="490"/>
    </row>
    <row r="660" spans="1:9">
      <c r="D660" s="1822"/>
      <c r="E660" s="1822"/>
      <c r="F660" s="1822"/>
      <c r="I660" s="490"/>
    </row>
    <row r="661" spans="1:9">
      <c r="D661" s="1822"/>
      <c r="E661" s="1822"/>
      <c r="F661" s="1822"/>
      <c r="I661" s="490"/>
    </row>
    <row r="662" spans="1:9" ht="14.45" customHeight="1">
      <c r="A662" s="484"/>
      <c r="B662" s="484"/>
      <c r="C662" s="487"/>
      <c r="D662" s="385"/>
      <c r="E662" s="385"/>
      <c r="F662" s="385"/>
      <c r="I662" s="490"/>
    </row>
    <row r="663" spans="1:9" ht="12.75" customHeight="1">
      <c r="A663" s="483"/>
      <c r="B663" s="485" t="s">
        <v>2792</v>
      </c>
      <c r="C663" s="487"/>
      <c r="D663" s="1822" t="s">
        <v>1283</v>
      </c>
      <c r="E663" s="1822"/>
      <c r="F663" s="1822"/>
      <c r="I663" s="490"/>
    </row>
    <row r="664" spans="1:9" ht="14.25">
      <c r="A664" s="483"/>
      <c r="B664" s="484"/>
      <c r="C664" s="487"/>
      <c r="D664" s="1822"/>
      <c r="E664" s="1822"/>
      <c r="F664" s="1822"/>
      <c r="I664" s="490"/>
    </row>
    <row r="665" spans="1:9" ht="14.25">
      <c r="A665" s="483"/>
      <c r="B665" s="484"/>
      <c r="C665" s="487"/>
      <c r="D665" s="1822"/>
      <c r="E665" s="1822"/>
      <c r="F665" s="1822"/>
      <c r="I665" s="490"/>
    </row>
    <row r="666" spans="1:9" ht="14.25">
      <c r="A666" s="483"/>
      <c r="B666" s="484"/>
      <c r="C666" s="487"/>
      <c r="D666" s="1822"/>
      <c r="E666" s="1822"/>
      <c r="F666" s="1822"/>
      <c r="I666" s="490"/>
    </row>
    <row r="667" spans="1:9" ht="14.25">
      <c r="A667" s="483"/>
      <c r="B667" s="484"/>
      <c r="C667" s="487"/>
      <c r="D667" s="1822"/>
      <c r="E667" s="1822"/>
      <c r="F667" s="1822"/>
      <c r="I667" s="490"/>
    </row>
    <row r="668" spans="1:9" ht="14.25" customHeight="1">
      <c r="A668" s="483"/>
      <c r="B668" s="484"/>
      <c r="C668" s="487"/>
      <c r="F668" s="386"/>
      <c r="I668" s="490"/>
    </row>
    <row r="669" spans="1:9" ht="12.75" customHeight="1">
      <c r="A669" s="483"/>
      <c r="B669" s="485" t="s">
        <v>2792</v>
      </c>
      <c r="C669" s="487"/>
      <c r="D669" s="1822" t="s">
        <v>1282</v>
      </c>
      <c r="E669" s="1822"/>
      <c r="F669" s="1822"/>
      <c r="I669" s="490"/>
    </row>
    <row r="670" spans="1:9" ht="14.25">
      <c r="A670" s="483"/>
      <c r="B670" s="484"/>
      <c r="C670" s="487"/>
      <c r="D670" s="1822"/>
      <c r="E670" s="1822"/>
      <c r="F670" s="1822"/>
      <c r="I670" s="490"/>
    </row>
    <row r="671" spans="1:9" ht="14.25">
      <c r="A671" s="484"/>
      <c r="B671" s="484"/>
      <c r="C671" s="487"/>
      <c r="D671" s="1822"/>
      <c r="E671" s="1822"/>
      <c r="F671" s="1822"/>
      <c r="I671" s="490"/>
    </row>
    <row r="672" spans="1:9" ht="14.25">
      <c r="A672" s="484"/>
      <c r="B672" s="484"/>
      <c r="C672" s="487"/>
      <c r="D672" s="1822"/>
      <c r="E672" s="1822"/>
      <c r="F672" s="1822"/>
      <c r="I672" s="490"/>
    </row>
    <row r="673" spans="1:11" ht="14.25">
      <c r="A673" s="484"/>
      <c r="B673" s="484"/>
      <c r="C673" s="487"/>
      <c r="D673" s="445"/>
      <c r="E673" s="445"/>
      <c r="F673" s="445"/>
      <c r="I673" s="490"/>
    </row>
    <row r="674" spans="1:11" ht="12.75" customHeight="1">
      <c r="A674" s="483"/>
      <c r="B674" s="485" t="s">
        <v>2792</v>
      </c>
      <c r="C674" s="487"/>
      <c r="D674" s="1822" t="s">
        <v>2024</v>
      </c>
      <c r="E674" s="1822"/>
      <c r="F674" s="1822"/>
      <c r="I674" s="490"/>
    </row>
    <row r="675" spans="1:11" ht="12.75" customHeight="1">
      <c r="A675" s="483"/>
      <c r="B675" s="484"/>
      <c r="C675" s="487"/>
      <c r="D675" s="1822"/>
      <c r="E675" s="1822"/>
      <c r="F675" s="1822"/>
      <c r="I675" s="490"/>
    </row>
    <row r="676" spans="1:11" ht="12.75" customHeight="1">
      <c r="A676" s="483"/>
      <c r="B676" s="484"/>
      <c r="C676" s="487"/>
      <c r="D676" s="1822"/>
      <c r="E676" s="1822"/>
      <c r="F676" s="1822"/>
      <c r="I676" s="490"/>
    </row>
    <row r="677" spans="1:11" ht="12.75" customHeight="1">
      <c r="A677" s="483"/>
      <c r="B677" s="484"/>
      <c r="C677" s="487"/>
      <c r="D677" s="1822"/>
      <c r="E677" s="1822"/>
      <c r="F677" s="1822"/>
      <c r="I677" s="490"/>
    </row>
    <row r="678" spans="1:11" ht="12.75" customHeight="1">
      <c r="A678" s="483"/>
      <c r="B678" s="484"/>
      <c r="C678" s="487"/>
      <c r="D678" s="1822"/>
      <c r="E678" s="1822"/>
      <c r="F678" s="1822"/>
      <c r="I678" s="490"/>
    </row>
    <row r="679" spans="1:11" ht="12.75" customHeight="1">
      <c r="A679" s="483"/>
      <c r="B679" s="484"/>
      <c r="C679" s="487"/>
      <c r="D679" s="1822"/>
      <c r="E679" s="1822"/>
      <c r="F679" s="1822"/>
      <c r="I679" s="490"/>
    </row>
    <row r="680" spans="1:11" ht="12.75" customHeight="1">
      <c r="A680" s="483"/>
      <c r="B680" s="484"/>
      <c r="C680" s="487"/>
      <c r="D680" s="1822"/>
      <c r="E680" s="1822"/>
      <c r="F680" s="1822"/>
      <c r="I680" s="490"/>
    </row>
    <row r="681" spans="1:11" ht="12.75" customHeight="1">
      <c r="A681" s="483"/>
      <c r="B681" s="484"/>
      <c r="C681" s="487"/>
      <c r="D681" s="1822"/>
      <c r="E681" s="1822"/>
      <c r="F681" s="1822"/>
      <c r="I681" s="490"/>
    </row>
    <row r="682" spans="1:11" ht="12.75" customHeight="1">
      <c r="A682" s="483"/>
      <c r="B682" s="484"/>
      <c r="C682" s="487"/>
      <c r="D682" s="1822"/>
      <c r="E682" s="1822"/>
      <c r="F682" s="1822"/>
      <c r="I682" s="490"/>
    </row>
    <row r="683" spans="1:11">
      <c r="A683" s="487"/>
      <c r="B683" s="487"/>
      <c r="C683" s="487"/>
      <c r="D683" s="446"/>
      <c r="E683" s="446"/>
      <c r="F683" s="446"/>
      <c r="I683" s="490"/>
    </row>
    <row r="684" spans="1:11">
      <c r="A684" s="1825" t="s">
        <v>1059</v>
      </c>
      <c r="B684" s="1825"/>
      <c r="C684" s="1825"/>
      <c r="D684" s="1825"/>
      <c r="E684" s="1825"/>
      <c r="F684" s="1825"/>
      <c r="G684" s="1825"/>
      <c r="H684" s="1025"/>
      <c r="I684" s="1151"/>
      <c r="J684" s="501"/>
      <c r="K684" s="501"/>
    </row>
    <row r="685" spans="1:11">
      <c r="A685" s="448"/>
      <c r="B685" s="448"/>
      <c r="C685" s="448"/>
      <c r="D685" s="448"/>
      <c r="E685" s="448"/>
      <c r="F685" s="448"/>
      <c r="G685" s="448"/>
      <c r="H685" s="501"/>
      <c r="I685" s="483"/>
      <c r="J685" s="501"/>
      <c r="K685" s="501"/>
    </row>
    <row r="686" spans="1:11">
      <c r="C686" s="482"/>
      <c r="D686" s="1831" t="s">
        <v>99</v>
      </c>
      <c r="E686" s="1831"/>
      <c r="F686" s="1831"/>
      <c r="H686" s="501"/>
      <c r="I686" s="483"/>
      <c r="J686" s="501"/>
      <c r="K686" s="501"/>
    </row>
    <row r="687" spans="1:11">
      <c r="A687" s="482"/>
      <c r="B687" s="482"/>
      <c r="C687" s="482"/>
      <c r="D687" s="1831" t="s">
        <v>123</v>
      </c>
      <c r="E687" s="1831"/>
      <c r="F687" s="1831"/>
      <c r="H687" s="501"/>
      <c r="I687" s="483"/>
      <c r="J687" s="501"/>
      <c r="K687" s="501"/>
    </row>
    <row r="688" spans="1:11">
      <c r="A688" s="483"/>
      <c r="B688" s="483"/>
      <c r="C688" s="483"/>
      <c r="D688" s="1823" t="s">
        <v>1076</v>
      </c>
      <c r="E688" s="1823"/>
      <c r="F688" s="1823"/>
      <c r="H688" s="501"/>
      <c r="I688" s="483"/>
      <c r="J688" s="501"/>
      <c r="K688" s="501"/>
    </row>
    <row r="689" spans="1:11">
      <c r="A689" s="483"/>
      <c r="B689" s="483"/>
      <c r="C689" s="483"/>
      <c r="H689" s="501"/>
      <c r="I689" s="483"/>
      <c r="J689" s="501"/>
      <c r="K689" s="501"/>
    </row>
    <row r="690" spans="1:11" ht="14.25">
      <c r="A690" s="484"/>
      <c r="B690" s="485" t="s">
        <v>2791</v>
      </c>
      <c r="C690" s="483"/>
      <c r="D690" s="1823" t="s">
        <v>885</v>
      </c>
      <c r="E690" s="1823"/>
      <c r="F690" s="1823"/>
      <c r="H690" s="501"/>
      <c r="I690" s="483"/>
      <c r="J690" s="501"/>
      <c r="K690" s="501"/>
    </row>
    <row r="691" spans="1:11">
      <c r="A691" s="483"/>
      <c r="B691" s="483"/>
      <c r="C691" s="483"/>
      <c r="D691" s="1823" t="s">
        <v>894</v>
      </c>
      <c r="E691" s="1823"/>
      <c r="F691" s="1823"/>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2791</v>
      </c>
      <c r="C695" s="483"/>
      <c r="D695" s="1822" t="s">
        <v>2025</v>
      </c>
      <c r="E695" s="1822"/>
      <c r="F695" s="1822"/>
      <c r="H695" s="501"/>
      <c r="I695" s="483"/>
      <c r="J695" s="501"/>
      <c r="K695" s="501"/>
    </row>
    <row r="696" spans="1:11">
      <c r="A696" s="490"/>
      <c r="B696" s="490"/>
      <c r="C696" s="483"/>
      <c r="D696" s="1822"/>
      <c r="E696" s="1822"/>
      <c r="F696" s="1822"/>
      <c r="H696" s="501"/>
      <c r="I696" s="483"/>
      <c r="J696" s="501"/>
      <c r="K696" s="501"/>
    </row>
    <row r="697" spans="1:11">
      <c r="A697" s="483"/>
      <c r="B697" s="483"/>
      <c r="C697" s="483"/>
      <c r="D697" s="1822"/>
      <c r="E697" s="1822"/>
      <c r="F697" s="1822"/>
      <c r="H697" s="501"/>
      <c r="I697" s="483"/>
      <c r="J697" s="501"/>
      <c r="K697" s="501"/>
    </row>
    <row r="698" spans="1:11">
      <c r="A698" s="483"/>
      <c r="B698" s="483"/>
      <c r="C698" s="483"/>
      <c r="H698" s="501"/>
      <c r="J698" s="501"/>
      <c r="K698" s="501"/>
    </row>
    <row r="699" spans="1:11" ht="14.25">
      <c r="A699" s="484"/>
      <c r="B699" s="485" t="s">
        <v>2791</v>
      </c>
      <c r="C699" s="483"/>
      <c r="D699" s="1823" t="s">
        <v>917</v>
      </c>
      <c r="E699" s="1823"/>
      <c r="F699" s="1823"/>
      <c r="H699" s="501"/>
      <c r="I699" s="483"/>
      <c r="J699" s="501"/>
      <c r="K699" s="501"/>
    </row>
    <row r="700" spans="1:11" ht="14.25">
      <c r="A700" s="484"/>
      <c r="B700" s="484"/>
      <c r="C700" s="483"/>
      <c r="D700" s="1823" t="s">
        <v>894</v>
      </c>
      <c r="E700" s="1823"/>
      <c r="F700" s="1823"/>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2792</v>
      </c>
      <c r="C703" s="483"/>
      <c r="D703" s="1823" t="s">
        <v>2398</v>
      </c>
      <c r="E703" s="1823"/>
      <c r="F703" s="1823"/>
      <c r="H703" s="501"/>
      <c r="I703" s="483"/>
      <c r="J703" s="501"/>
      <c r="K703" s="501"/>
    </row>
    <row r="704" spans="1:11" ht="14.25">
      <c r="A704" s="484"/>
      <c r="B704" s="484"/>
      <c r="C704" s="483"/>
      <c r="D704" s="1823" t="s">
        <v>894</v>
      </c>
      <c r="E704" s="1823"/>
      <c r="F704" s="1823"/>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2792</v>
      </c>
      <c r="C707" s="483"/>
      <c r="D707" s="1822" t="s">
        <v>2196</v>
      </c>
      <c r="E707" s="1822"/>
      <c r="F707" s="1822"/>
      <c r="H707" s="501"/>
      <c r="I707" s="483"/>
      <c r="J707" s="501"/>
      <c r="K707" s="501"/>
    </row>
    <row r="708" spans="1:11">
      <c r="A708" s="483"/>
      <c r="B708" s="483"/>
      <c r="C708" s="483"/>
      <c r="D708" s="1822"/>
      <c r="E708" s="1822"/>
      <c r="F708" s="1822"/>
      <c r="H708" s="501"/>
      <c r="I708" s="483"/>
      <c r="J708" s="501"/>
      <c r="K708" s="501"/>
    </row>
    <row r="709" spans="1:11">
      <c r="A709" s="483"/>
      <c r="B709" s="483"/>
      <c r="C709" s="483"/>
      <c r="D709" s="1822"/>
      <c r="E709" s="1822"/>
      <c r="F709" s="1822"/>
      <c r="H709" s="501"/>
      <c r="I709" s="483"/>
      <c r="J709" s="501"/>
      <c r="K709" s="501"/>
    </row>
    <row r="710" spans="1:11">
      <c r="A710" s="483"/>
      <c r="B710" s="483"/>
      <c r="C710" s="483"/>
      <c r="D710" s="1822"/>
      <c r="E710" s="1822"/>
      <c r="F710" s="1822"/>
      <c r="H710" s="501"/>
      <c r="I710" s="483"/>
      <c r="J710" s="501"/>
      <c r="K710" s="501"/>
    </row>
    <row r="711" spans="1:11">
      <c r="A711" s="483"/>
      <c r="B711" s="483"/>
      <c r="C711" s="483"/>
      <c r="D711" s="1822"/>
      <c r="E711" s="1822"/>
      <c r="F711" s="1822"/>
      <c r="H711" s="501"/>
      <c r="I711" s="483"/>
      <c r="J711" s="501"/>
      <c r="K711" s="501"/>
    </row>
    <row r="712" spans="1:11">
      <c r="A712" s="483"/>
      <c r="B712" s="483"/>
      <c r="C712" s="483"/>
      <c r="D712" s="1822"/>
      <c r="E712" s="1822"/>
      <c r="F712" s="1822"/>
      <c r="H712" s="501"/>
      <c r="I712" s="483"/>
      <c r="J712" s="501"/>
      <c r="K712" s="501"/>
    </row>
    <row r="713" spans="1:11">
      <c r="A713" s="483"/>
      <c r="B713" s="483"/>
      <c r="C713" s="483"/>
      <c r="D713" s="445"/>
      <c r="E713" s="445"/>
      <c r="F713" s="445"/>
      <c r="H713" s="501"/>
      <c r="I713" s="483"/>
      <c r="J713" s="501"/>
      <c r="K713" s="501"/>
    </row>
    <row r="714" spans="1:11">
      <c r="A714" s="483"/>
      <c r="B714" s="485" t="s">
        <v>2792</v>
      </c>
      <c r="C714" s="483"/>
      <c r="D714" s="1822" t="s">
        <v>1201</v>
      </c>
      <c r="E714" s="1822"/>
      <c r="F714" s="1822"/>
      <c r="H714" s="501"/>
      <c r="I714" s="483"/>
      <c r="J714" s="501"/>
      <c r="K714" s="501"/>
    </row>
    <row r="715" spans="1:11">
      <c r="A715" s="483"/>
      <c r="B715" s="483"/>
      <c r="C715" s="483"/>
      <c r="D715" s="1822"/>
      <c r="E715" s="1822"/>
      <c r="F715" s="1822"/>
      <c r="H715" s="501"/>
      <c r="I715" s="483"/>
      <c r="J715" s="501"/>
      <c r="K715" s="501"/>
    </row>
    <row r="716" spans="1:11">
      <c r="A716" s="483"/>
      <c r="B716" s="483"/>
      <c r="C716" s="483"/>
      <c r="D716" s="445"/>
      <c r="E716" s="445"/>
      <c r="F716" s="445"/>
      <c r="H716" s="501"/>
      <c r="I716" s="483"/>
      <c r="J716" s="501"/>
      <c r="K716" s="501"/>
    </row>
    <row r="717" spans="1:11" ht="14.25">
      <c r="A717" s="484"/>
      <c r="B717" s="485" t="s">
        <v>2792</v>
      </c>
      <c r="C717" s="483"/>
      <c r="D717" s="1822" t="s">
        <v>1077</v>
      </c>
      <c r="E717" s="1822"/>
      <c r="F717" s="1822"/>
      <c r="H717" s="501"/>
      <c r="I717" s="483"/>
      <c r="J717" s="501"/>
      <c r="K717" s="501"/>
    </row>
    <row r="718" spans="1:11">
      <c r="A718" s="483"/>
      <c r="B718" s="483"/>
      <c r="C718" s="483"/>
      <c r="D718" s="1822"/>
      <c r="E718" s="1822"/>
      <c r="F718" s="1822"/>
      <c r="H718" s="501"/>
      <c r="I718" s="483"/>
      <c r="J718" s="501"/>
      <c r="K718" s="501"/>
    </row>
    <row r="719" spans="1:11">
      <c r="A719" s="483"/>
      <c r="B719" s="483"/>
      <c r="C719" s="483"/>
      <c r="D719" s="1822"/>
      <c r="E719" s="1822"/>
      <c r="F719" s="1822"/>
      <c r="H719" s="501"/>
      <c r="I719" s="483"/>
      <c r="J719" s="501"/>
      <c r="K719" s="501"/>
    </row>
    <row r="720" spans="1:11" ht="15" customHeight="1">
      <c r="A720" s="483"/>
      <c r="B720" s="483"/>
      <c r="C720" s="483"/>
      <c r="D720" s="1822"/>
      <c r="E720" s="1822"/>
      <c r="F720" s="1822"/>
      <c r="H720" s="501"/>
      <c r="I720" s="483"/>
      <c r="J720" s="501"/>
      <c r="K720" s="501"/>
    </row>
    <row r="721" spans="1:11" ht="15" customHeight="1">
      <c r="A721" s="483"/>
      <c r="B721" s="483"/>
      <c r="C721" s="483"/>
      <c r="D721" s="1822"/>
      <c r="E721" s="1822"/>
      <c r="F721" s="1822"/>
      <c r="H721" s="501"/>
      <c r="I721" s="483"/>
      <c r="J721" s="501"/>
      <c r="K721" s="501"/>
    </row>
    <row r="722" spans="1:11">
      <c r="A722" s="483"/>
      <c r="B722" s="483"/>
      <c r="C722" s="483"/>
      <c r="D722" s="1822"/>
      <c r="E722" s="1822"/>
      <c r="F722" s="1822"/>
      <c r="H722" s="501"/>
      <c r="I722" s="483"/>
      <c r="J722" s="501"/>
      <c r="K722" s="501"/>
    </row>
    <row r="723" spans="1:11">
      <c r="A723" s="483"/>
      <c r="B723" s="483"/>
      <c r="C723" s="483"/>
      <c r="D723" s="1822"/>
      <c r="E723" s="1822"/>
      <c r="F723" s="1822"/>
      <c r="H723" s="501"/>
      <c r="I723" s="483"/>
      <c r="J723" s="501"/>
      <c r="K723" s="501"/>
    </row>
    <row r="724" spans="1:11">
      <c r="A724" s="483"/>
      <c r="B724" s="483"/>
      <c r="C724" s="483"/>
      <c r="D724" s="1822"/>
      <c r="E724" s="1822"/>
      <c r="F724" s="1822"/>
      <c r="H724" s="501"/>
      <c r="I724" s="483"/>
      <c r="J724" s="501"/>
      <c r="K724" s="501"/>
    </row>
    <row r="725" spans="1:11" ht="15" customHeight="1">
      <c r="A725" s="483"/>
      <c r="B725" s="483"/>
      <c r="C725" s="483"/>
      <c r="D725" s="1822"/>
      <c r="E725" s="1822"/>
      <c r="F725" s="1822"/>
      <c r="H725" s="501"/>
      <c r="I725" s="483"/>
      <c r="J725" s="501"/>
      <c r="K725" s="501"/>
    </row>
    <row r="726" spans="1:11">
      <c r="A726" s="483"/>
      <c r="B726" s="483"/>
      <c r="C726" s="483"/>
      <c r="D726" s="1822"/>
      <c r="E726" s="1822"/>
      <c r="F726" s="1822"/>
      <c r="H726" s="501"/>
      <c r="I726" s="483"/>
      <c r="J726" s="501"/>
      <c r="K726" s="501"/>
    </row>
    <row r="727" spans="1:11">
      <c r="A727" s="483"/>
      <c r="B727" s="483"/>
      <c r="C727" s="483"/>
      <c r="D727" s="1822"/>
      <c r="E727" s="1822"/>
      <c r="F727" s="1822"/>
      <c r="H727" s="501"/>
      <c r="I727" s="483"/>
      <c r="J727" s="501"/>
      <c r="K727" s="501"/>
    </row>
    <row r="728" spans="1:11">
      <c r="A728" s="483"/>
      <c r="B728" s="483"/>
      <c r="C728" s="483"/>
      <c r="D728" s="1822"/>
      <c r="E728" s="1822"/>
      <c r="F728" s="1822"/>
      <c r="H728" s="501"/>
      <c r="I728" s="483"/>
      <c r="J728" s="501"/>
      <c r="K728" s="501"/>
    </row>
    <row r="729" spans="1:11">
      <c r="A729" s="483"/>
      <c r="B729" s="483"/>
      <c r="C729" s="483"/>
      <c r="D729" s="1822"/>
      <c r="E729" s="1822"/>
      <c r="F729" s="1822"/>
      <c r="H729" s="501"/>
      <c r="I729" s="483"/>
      <c r="J729" s="501"/>
      <c r="K729" s="501"/>
    </row>
    <row r="730" spans="1:11">
      <c r="A730" s="483"/>
      <c r="B730" s="485" t="s">
        <v>2792</v>
      </c>
      <c r="C730" s="483"/>
      <c r="D730" s="1822" t="s">
        <v>2391</v>
      </c>
      <c r="E730" s="1822"/>
      <c r="F730" s="1822"/>
      <c r="H730" s="501"/>
      <c r="I730" s="483"/>
      <c r="J730" s="501"/>
      <c r="K730" s="501"/>
    </row>
    <row r="731" spans="1:11">
      <c r="A731" s="483"/>
      <c r="B731" s="483"/>
      <c r="C731" s="483"/>
      <c r="D731" s="1822"/>
      <c r="E731" s="1822"/>
      <c r="F731" s="1822"/>
      <c r="H731" s="501"/>
      <c r="I731" s="483"/>
      <c r="J731" s="501"/>
      <c r="K731" s="501"/>
    </row>
    <row r="732" spans="1:11">
      <c r="A732" s="483"/>
      <c r="B732" s="483"/>
      <c r="C732" s="483"/>
      <c r="D732" s="1822"/>
      <c r="E732" s="1822"/>
      <c r="F732" s="1822"/>
      <c r="H732" s="501"/>
      <c r="I732" s="483"/>
      <c r="J732" s="501"/>
      <c r="K732" s="501"/>
    </row>
    <row r="733" spans="1:11">
      <c r="A733" s="483"/>
      <c r="B733" s="483"/>
      <c r="C733" s="483"/>
      <c r="D733" s="445"/>
      <c r="E733" s="445"/>
      <c r="F733" s="445"/>
      <c r="H733" s="501"/>
      <c r="I733" s="483"/>
      <c r="J733" s="501"/>
      <c r="K733" s="501"/>
    </row>
    <row r="734" spans="1:11">
      <c r="A734" s="483"/>
      <c r="B734" s="485" t="s">
        <v>2792</v>
      </c>
      <c r="C734" s="483"/>
      <c r="D734" s="1822" t="s">
        <v>2390</v>
      </c>
      <c r="E734" s="1822"/>
      <c r="F734" s="1822"/>
      <c r="H734" s="501"/>
      <c r="I734" s="483"/>
      <c r="J734" s="501"/>
      <c r="K734" s="501"/>
    </row>
    <row r="735" spans="1:11">
      <c r="A735" s="483"/>
      <c r="B735" s="483"/>
      <c r="C735" s="483"/>
      <c r="D735" s="1822"/>
      <c r="E735" s="1822"/>
      <c r="F735" s="1822"/>
      <c r="H735" s="501"/>
      <c r="I735" s="483"/>
      <c r="J735" s="501"/>
      <c r="K735" s="501"/>
    </row>
    <row r="736" spans="1:11">
      <c r="A736" s="483"/>
      <c r="B736" s="483"/>
      <c r="C736" s="483"/>
      <c r="D736" s="1822"/>
      <c r="E736" s="1822"/>
      <c r="F736" s="1822"/>
      <c r="H736" s="501"/>
      <c r="I736" s="483"/>
      <c r="J736" s="501"/>
      <c r="K736" s="501"/>
    </row>
    <row r="737" spans="1:11">
      <c r="A737" s="483"/>
      <c r="B737" s="483"/>
      <c r="C737" s="483"/>
      <c r="H737" s="501"/>
      <c r="I737" s="483"/>
      <c r="J737" s="501"/>
      <c r="K737" s="501"/>
    </row>
    <row r="738" spans="1:11">
      <c r="A738" s="483"/>
      <c r="B738" s="485" t="s">
        <v>2792</v>
      </c>
      <c r="C738" s="483"/>
      <c r="D738" s="1822" t="s">
        <v>2389</v>
      </c>
      <c r="E738" s="1822"/>
      <c r="F738" s="1822"/>
      <c r="H738" s="501"/>
      <c r="I738" s="483"/>
      <c r="J738" s="501"/>
      <c r="K738" s="501"/>
    </row>
    <row r="739" spans="1:11">
      <c r="A739" s="483"/>
      <c r="B739" s="483"/>
      <c r="C739" s="483"/>
      <c r="D739" s="1822"/>
      <c r="E739" s="1822"/>
      <c r="F739" s="1822"/>
      <c r="H739" s="501"/>
      <c r="I739" s="483"/>
      <c r="J739" s="501"/>
      <c r="K739" s="501"/>
    </row>
    <row r="740" spans="1:11">
      <c r="A740" s="483"/>
      <c r="B740" s="483"/>
      <c r="C740" s="483"/>
      <c r="D740" s="1822"/>
      <c r="E740" s="1822"/>
      <c r="F740" s="1822"/>
      <c r="H740" s="501"/>
      <c r="I740" s="483"/>
      <c r="J740" s="501"/>
      <c r="K740" s="501"/>
    </row>
    <row r="741" spans="1:11">
      <c r="A741" s="483"/>
      <c r="B741" s="483"/>
      <c r="C741" s="483"/>
      <c r="D741" s="1822"/>
      <c r="E741" s="1822"/>
      <c r="F741" s="1822"/>
      <c r="H741" s="501"/>
      <c r="I741" s="483"/>
      <c r="J741" s="501"/>
      <c r="K741" s="501"/>
    </row>
    <row r="742" spans="1:11">
      <c r="A742" s="483"/>
      <c r="B742" s="483"/>
      <c r="C742" s="483"/>
      <c r="H742" s="501"/>
      <c r="I742" s="483"/>
      <c r="J742" s="501"/>
      <c r="K742" s="501"/>
    </row>
    <row r="743" spans="1:11" ht="14.25">
      <c r="A743" s="484"/>
      <c r="B743" s="485" t="s">
        <v>2792</v>
      </c>
      <c r="C743" s="483"/>
      <c r="D743" s="1822" t="s">
        <v>1078</v>
      </c>
      <c r="E743" s="1822"/>
      <c r="F743" s="1822"/>
      <c r="H743" s="501"/>
      <c r="I743" s="483"/>
      <c r="J743" s="501"/>
      <c r="K743" s="501"/>
    </row>
    <row r="744" spans="1:11">
      <c r="A744" s="483"/>
      <c r="B744" s="483"/>
      <c r="C744" s="483"/>
      <c r="D744" s="1822"/>
      <c r="E744" s="1822"/>
      <c r="F744" s="1822"/>
      <c r="H744" s="501"/>
      <c r="I744" s="483"/>
      <c r="J744" s="501"/>
      <c r="K744" s="501"/>
    </row>
    <row r="745" spans="1:11">
      <c r="A745" s="483"/>
      <c r="B745" s="483"/>
      <c r="C745" s="483"/>
      <c r="D745" s="1822"/>
      <c r="E745" s="1822"/>
      <c r="F745" s="1822"/>
      <c r="H745" s="501"/>
      <c r="I745" s="483"/>
      <c r="J745" s="501"/>
      <c r="K745" s="501"/>
    </row>
    <row r="746" spans="1:11">
      <c r="A746" s="483"/>
      <c r="B746" s="483"/>
      <c r="C746" s="483"/>
      <c r="D746" s="1822"/>
      <c r="E746" s="1822"/>
      <c r="F746" s="1822"/>
      <c r="H746" s="501"/>
      <c r="I746" s="483"/>
      <c r="J746" s="501"/>
      <c r="K746" s="501"/>
    </row>
    <row r="747" spans="1:11">
      <c r="A747" s="483"/>
      <c r="B747" s="483"/>
      <c r="C747" s="483"/>
      <c r="D747" s="1822"/>
      <c r="E747" s="1822"/>
      <c r="F747" s="1822"/>
      <c r="H747" s="501"/>
      <c r="I747" s="483"/>
      <c r="J747" s="501"/>
      <c r="K747" s="501"/>
    </row>
    <row r="748" spans="1:11">
      <c r="A748" s="483"/>
      <c r="B748" s="483"/>
      <c r="C748" s="483"/>
      <c r="D748" s="492"/>
      <c r="H748" s="501"/>
      <c r="I748" s="483"/>
      <c r="J748" s="501"/>
      <c r="K748" s="501"/>
    </row>
    <row r="749" spans="1:11" ht="14.25">
      <c r="A749" s="484"/>
      <c r="B749" s="485" t="s">
        <v>2792</v>
      </c>
      <c r="C749" s="483"/>
      <c r="D749" s="1822" t="s">
        <v>2099</v>
      </c>
      <c r="E749" s="1822"/>
      <c r="F749" s="1822"/>
      <c r="H749" s="501"/>
      <c r="I749" s="483"/>
      <c r="J749" s="501"/>
      <c r="K749" s="501"/>
    </row>
    <row r="750" spans="1:11">
      <c r="A750" s="483"/>
      <c r="B750" s="483"/>
      <c r="C750" s="483"/>
      <c r="D750" s="1822"/>
      <c r="E750" s="1822"/>
      <c r="F750" s="1822"/>
      <c r="H750" s="501"/>
      <c r="I750" s="483"/>
      <c r="J750" s="501"/>
      <c r="K750" s="501"/>
    </row>
    <row r="751" spans="1:11">
      <c r="A751" s="483"/>
      <c r="B751" s="483"/>
      <c r="C751" s="483"/>
      <c r="D751" s="1822"/>
      <c r="E751" s="1822"/>
      <c r="F751" s="1822"/>
      <c r="H751" s="501"/>
      <c r="I751" s="483"/>
      <c r="J751" s="501"/>
      <c r="K751" s="501"/>
    </row>
    <row r="752" spans="1:11">
      <c r="A752" s="483"/>
      <c r="B752" s="483"/>
      <c r="C752" s="483"/>
      <c r="D752" s="1822"/>
      <c r="E752" s="1822"/>
      <c r="F752" s="1822"/>
      <c r="H752" s="501"/>
      <c r="I752" s="483"/>
      <c r="J752" s="501"/>
      <c r="K752" s="501"/>
    </row>
    <row r="753" spans="1:11">
      <c r="A753" s="483"/>
      <c r="B753" s="483"/>
      <c r="C753" s="483"/>
      <c r="D753" s="1822"/>
      <c r="E753" s="1822"/>
      <c r="F753" s="1822"/>
      <c r="H753" s="501"/>
      <c r="I753" s="483"/>
      <c r="J753" s="501"/>
      <c r="K753" s="501"/>
    </row>
    <row r="754" spans="1:11">
      <c r="A754" s="483"/>
      <c r="B754" s="483"/>
      <c r="C754" s="483"/>
      <c r="D754" s="1822"/>
      <c r="E754" s="1822"/>
      <c r="F754" s="1822"/>
      <c r="H754" s="501"/>
      <c r="I754" s="483"/>
      <c r="J754" s="501"/>
      <c r="K754" s="501"/>
    </row>
    <row r="755" spans="1:11">
      <c r="A755" s="483"/>
      <c r="B755" s="483"/>
      <c r="C755" s="483"/>
      <c r="D755" s="1822"/>
      <c r="E755" s="1822"/>
      <c r="F755" s="1822"/>
      <c r="H755" s="501"/>
      <c r="I755" s="483"/>
      <c r="J755" s="501"/>
      <c r="K755" s="501"/>
    </row>
    <row r="756" spans="1:11">
      <c r="A756" s="483"/>
      <c r="B756" s="483"/>
      <c r="C756" s="483"/>
      <c r="D756" s="1860" t="s">
        <v>2608</v>
      </c>
      <c r="E756" s="1860"/>
      <c r="F756" s="1860"/>
      <c r="H756" s="501"/>
      <c r="I756" s="483"/>
      <c r="J756" s="501"/>
      <c r="K756" s="501"/>
    </row>
    <row r="757" spans="1:11">
      <c r="A757" s="483"/>
      <c r="B757" s="483"/>
      <c r="C757" s="483"/>
      <c r="D757" s="341"/>
      <c r="H757" s="501"/>
      <c r="I757" s="483"/>
      <c r="J757" s="501"/>
      <c r="K757" s="501"/>
    </row>
    <row r="758" spans="1:11">
      <c r="A758" s="1830" t="s">
        <v>1060</v>
      </c>
      <c r="B758" s="1830"/>
      <c r="C758" s="1830"/>
      <c r="D758" s="1830"/>
      <c r="E758" s="1830"/>
      <c r="F758" s="1830"/>
      <c r="G758" s="1830"/>
      <c r="H758" s="1025"/>
      <c r="I758" s="1151"/>
      <c r="J758" s="501"/>
      <c r="K758" s="501"/>
    </row>
    <row r="759" spans="1:11">
      <c r="A759" s="483"/>
      <c r="B759" s="483"/>
      <c r="C759" s="483"/>
      <c r="D759" s="492"/>
      <c r="G759" s="501"/>
      <c r="H759" s="501"/>
      <c r="I759" s="483"/>
      <c r="J759" s="501"/>
      <c r="K759" s="501"/>
    </row>
    <row r="760" spans="1:11" ht="13.7" customHeight="1">
      <c r="C760" s="483"/>
      <c r="D760" s="1824" t="s">
        <v>1070</v>
      </c>
      <c r="E760" s="1824"/>
      <c r="F760" s="1824"/>
      <c r="G760" s="501"/>
      <c r="H760" s="501"/>
      <c r="I760" s="483"/>
      <c r="J760" s="501"/>
      <c r="K760" s="501"/>
    </row>
    <row r="761" spans="1:11">
      <c r="A761" s="483"/>
      <c r="B761" s="483"/>
      <c r="C761" s="483"/>
      <c r="D761" s="1829" t="s">
        <v>1071</v>
      </c>
      <c r="E761" s="1829"/>
      <c r="F761" s="1829"/>
      <c r="G761" s="501"/>
      <c r="H761" s="501"/>
      <c r="I761" s="483"/>
      <c r="J761" s="501"/>
      <c r="K761" s="501"/>
    </row>
    <row r="762" spans="1:11">
      <c r="A762" s="483"/>
      <c r="B762" s="483"/>
      <c r="C762" s="483"/>
      <c r="G762" s="501"/>
      <c r="H762" s="501"/>
      <c r="I762" s="483"/>
      <c r="J762" s="501"/>
      <c r="K762" s="501"/>
    </row>
    <row r="763" spans="1:11" ht="14.25">
      <c r="A763" s="484"/>
      <c r="B763" s="485" t="s">
        <v>2791</v>
      </c>
      <c r="D763" s="1822" t="s">
        <v>1072</v>
      </c>
      <c r="E763" s="1822"/>
      <c r="F763" s="1822"/>
      <c r="G763" s="501"/>
      <c r="H763" s="501"/>
      <c r="I763" s="483"/>
      <c r="J763" s="501"/>
      <c r="K763" s="501"/>
    </row>
    <row r="764" spans="1:11" ht="10.5" customHeight="1">
      <c r="D764" s="1822"/>
      <c r="E764" s="1822"/>
      <c r="F764" s="1822"/>
      <c r="G764" s="501"/>
      <c r="H764" s="501"/>
      <c r="I764" s="483"/>
      <c r="J764" s="501"/>
      <c r="K764" s="501"/>
    </row>
    <row r="765" spans="1:11">
      <c r="D765" s="1822"/>
      <c r="E765" s="1822"/>
      <c r="F765" s="1822"/>
      <c r="G765" s="501"/>
      <c r="H765" s="501"/>
      <c r="I765" s="483"/>
      <c r="J765" s="501"/>
      <c r="K765" s="501"/>
    </row>
    <row r="766" spans="1:11">
      <c r="D766" s="1822"/>
      <c r="E766" s="1822"/>
      <c r="F766" s="1822"/>
      <c r="G766" s="501"/>
      <c r="H766" s="501"/>
      <c r="I766" s="483"/>
      <c r="J766" s="501"/>
      <c r="K766" s="501"/>
    </row>
    <row r="767" spans="1:11">
      <c r="D767" s="1822"/>
      <c r="E767" s="1822"/>
      <c r="F767" s="1822"/>
      <c r="G767" s="501"/>
      <c r="H767" s="501"/>
      <c r="I767" s="483"/>
      <c r="J767" s="501"/>
      <c r="K767" s="501"/>
    </row>
    <row r="768" spans="1:11" ht="15.6" customHeight="1">
      <c r="D768" s="1822"/>
      <c r="E768" s="1822"/>
      <c r="F768" s="1822"/>
      <c r="G768" s="501"/>
      <c r="H768" s="501"/>
      <c r="I768" s="483"/>
      <c r="J768" s="501"/>
      <c r="K768" s="501"/>
    </row>
    <row r="769" spans="1:11">
      <c r="D769" s="499"/>
      <c r="E769" s="446"/>
      <c r="F769" s="446"/>
      <c r="G769" s="501"/>
      <c r="H769" s="501"/>
      <c r="I769" s="483"/>
      <c r="J769" s="501"/>
      <c r="K769" s="501"/>
    </row>
    <row r="770" spans="1:11" s="505" customFormat="1" ht="14.25">
      <c r="A770" s="503"/>
      <c r="B770" s="485" t="s">
        <v>2792</v>
      </c>
      <c r="C770" s="504"/>
      <c r="D770" s="1822" t="s">
        <v>1241</v>
      </c>
      <c r="E770" s="1822"/>
      <c r="F770" s="1822"/>
      <c r="I770" s="1152"/>
    </row>
    <row r="771" spans="1:11" s="505" customFormat="1">
      <c r="A771" s="504"/>
      <c r="B771" s="504"/>
      <c r="C771" s="504"/>
      <c r="D771" s="1822"/>
      <c r="E771" s="1822"/>
      <c r="F771" s="1822"/>
      <c r="I771" s="1152"/>
    </row>
    <row r="772" spans="1:11" s="505" customFormat="1">
      <c r="A772" s="504"/>
      <c r="B772" s="504"/>
      <c r="C772" s="504"/>
      <c r="D772" s="1822"/>
      <c r="E772" s="1822"/>
      <c r="F772" s="1822"/>
      <c r="I772" s="1152"/>
    </row>
    <row r="773" spans="1:11" s="505" customFormat="1">
      <c r="A773" s="504"/>
      <c r="B773" s="504"/>
      <c r="C773" s="504"/>
      <c r="D773" s="1822"/>
      <c r="E773" s="1822"/>
      <c r="F773" s="1822"/>
      <c r="I773" s="1152"/>
    </row>
    <row r="774" spans="1:11" s="505" customFormat="1">
      <c r="A774" s="504"/>
      <c r="B774" s="504"/>
      <c r="C774" s="504"/>
      <c r="D774" s="499"/>
      <c r="I774" s="1152"/>
    </row>
    <row r="775" spans="1:11" s="505" customFormat="1" ht="14.25">
      <c r="A775" s="484"/>
      <c r="B775" s="485" t="s">
        <v>2792</v>
      </c>
      <c r="C775" s="504"/>
      <c r="D775" s="1833" t="s">
        <v>1242</v>
      </c>
      <c r="E775" s="1833"/>
      <c r="F775" s="1833"/>
      <c r="I775" s="1152"/>
    </row>
    <row r="776" spans="1:11" s="505" customFormat="1">
      <c r="A776" s="504"/>
      <c r="B776" s="504"/>
      <c r="C776" s="504"/>
      <c r="D776" s="1833"/>
      <c r="E776" s="1833"/>
      <c r="F776" s="1833"/>
      <c r="I776" s="1152"/>
    </row>
    <row r="777" spans="1:11" s="505" customFormat="1">
      <c r="A777" s="504"/>
      <c r="B777" s="504"/>
      <c r="C777" s="504"/>
      <c r="D777" s="1833"/>
      <c r="E777" s="1833"/>
      <c r="F777" s="1833"/>
      <c r="I777" s="1152"/>
    </row>
    <row r="778" spans="1:11">
      <c r="D778" s="499"/>
      <c r="E778" s="446"/>
      <c r="F778" s="446"/>
      <c r="G778" s="501"/>
      <c r="H778" s="501"/>
      <c r="I778" s="483"/>
      <c r="J778" s="501"/>
      <c r="K778" s="501"/>
    </row>
    <row r="779" spans="1:11" ht="14.25">
      <c r="A779" s="484"/>
      <c r="B779" s="485" t="s">
        <v>2791</v>
      </c>
      <c r="D779" s="1822" t="s">
        <v>1198</v>
      </c>
      <c r="E779" s="1822"/>
      <c r="F779" s="1822"/>
      <c r="G779" s="501"/>
      <c r="H779" s="501"/>
      <c r="I779" s="483"/>
      <c r="J779" s="501"/>
      <c r="K779" s="501"/>
    </row>
    <row r="780" spans="1:11">
      <c r="D780" s="1822"/>
      <c r="E780" s="1822"/>
      <c r="F780" s="1822"/>
      <c r="G780" s="501"/>
      <c r="H780" s="501"/>
      <c r="I780" s="483"/>
      <c r="J780" s="501"/>
      <c r="K780" s="501"/>
    </row>
    <row r="781" spans="1:11">
      <c r="D781" s="445"/>
      <c r="E781" s="445"/>
      <c r="F781" s="445"/>
      <c r="G781" s="501"/>
      <c r="H781" s="501"/>
      <c r="I781" s="483"/>
      <c r="J781" s="501"/>
      <c r="K781" s="501"/>
    </row>
    <row r="782" spans="1:11">
      <c r="B782" s="485" t="s">
        <v>2792</v>
      </c>
      <c r="D782" s="1822" t="s">
        <v>1215</v>
      </c>
      <c r="E782" s="1822"/>
      <c r="F782" s="1822"/>
      <c r="G782" s="501"/>
      <c r="H782" s="501"/>
      <c r="I782" s="483"/>
      <c r="J782" s="501"/>
      <c r="K782" s="501"/>
    </row>
    <row r="783" spans="1:11">
      <c r="D783" s="1822"/>
      <c r="E783" s="1822"/>
      <c r="F783" s="1822"/>
      <c r="G783" s="501"/>
      <c r="H783" s="501"/>
      <c r="I783" s="483"/>
      <c r="J783" s="501"/>
      <c r="K783" s="501"/>
    </row>
    <row r="784" spans="1:11">
      <c r="D784" s="1822"/>
      <c r="E784" s="1822"/>
      <c r="F784" s="1822"/>
      <c r="G784" s="501"/>
      <c r="H784" s="501"/>
      <c r="I784" s="483"/>
      <c r="J784" s="501"/>
      <c r="K784" s="501"/>
    </row>
    <row r="785" spans="1:11">
      <c r="D785" s="445"/>
      <c r="E785" s="445"/>
      <c r="F785" s="445"/>
      <c r="G785" s="501"/>
      <c r="H785" s="501"/>
      <c r="I785" s="483"/>
      <c r="J785" s="501"/>
      <c r="K785" s="501"/>
    </row>
    <row r="786" spans="1:11" hidden="1">
      <c r="A786" s="1852" t="s">
        <v>1789</v>
      </c>
      <c r="B786" s="1852"/>
      <c r="C786" s="1852"/>
      <c r="D786" s="1852"/>
      <c r="E786" s="1852"/>
      <c r="F786" s="1852"/>
      <c r="G786" s="1852"/>
      <c r="H786" s="1023"/>
      <c r="I786" s="1147"/>
    </row>
    <row r="787" spans="1:11" hidden="1">
      <c r="A787" s="57"/>
      <c r="B787" s="57"/>
      <c r="C787" s="354"/>
      <c r="D787" s="3"/>
      <c r="E787" s="3"/>
      <c r="F787" s="3"/>
      <c r="G787" s="3"/>
      <c r="I787" s="490"/>
    </row>
    <row r="788" spans="1:11" hidden="1">
      <c r="A788" s="57"/>
      <c r="B788" s="57"/>
      <c r="C788" s="354"/>
      <c r="D788" s="1851" t="s">
        <v>1829</v>
      </c>
      <c r="E788" s="1851"/>
      <c r="F788" s="1851"/>
      <c r="G788" s="3"/>
      <c r="I788" s="490"/>
    </row>
    <row r="789" spans="1:11" hidden="1">
      <c r="A789" s="57"/>
      <c r="B789" s="57"/>
      <c r="C789" s="354"/>
      <c r="D789" s="1836" t="s">
        <v>1743</v>
      </c>
      <c r="E789" s="1836"/>
      <c r="F789" s="1836"/>
      <c r="G789" s="3"/>
      <c r="I789" s="490"/>
    </row>
    <row r="790" spans="1:11" hidden="1">
      <c r="A790" s="57"/>
      <c r="B790" s="57"/>
      <c r="C790" s="354"/>
      <c r="D790" s="447"/>
      <c r="E790" s="447"/>
      <c r="F790" s="447"/>
      <c r="G790" s="3"/>
      <c r="I790" s="490"/>
    </row>
    <row r="791" spans="1:11" hidden="1">
      <c r="A791" s="57"/>
      <c r="B791" s="485" t="s">
        <v>307</v>
      </c>
      <c r="C791" s="354"/>
      <c r="D791" s="1853" t="s">
        <v>1744</v>
      </c>
      <c r="E791" s="1853"/>
      <c r="F791" s="1853"/>
      <c r="G791" s="3"/>
      <c r="I791" s="483"/>
    </row>
    <row r="792" spans="1:11" hidden="1">
      <c r="A792" s="57"/>
      <c r="B792" s="57"/>
      <c r="C792" s="354"/>
      <c r="D792" s="1853"/>
      <c r="E792" s="1853"/>
      <c r="F792" s="1853"/>
      <c r="G792" s="3"/>
      <c r="I792" s="490"/>
    </row>
    <row r="793" spans="1:11" hidden="1">
      <c r="A793" s="174"/>
      <c r="B793" s="174"/>
      <c r="C793" s="174"/>
      <c r="D793" s="1853"/>
      <c r="E793" s="1853"/>
      <c r="F793" s="1853"/>
      <c r="G793" s="118"/>
      <c r="I793" s="490"/>
    </row>
    <row r="794" spans="1:11" hidden="1">
      <c r="A794" s="354"/>
      <c r="B794" s="354"/>
      <c r="C794" s="354"/>
      <c r="D794" s="173"/>
      <c r="E794" s="3"/>
      <c r="F794" s="3"/>
      <c r="G794" s="3"/>
      <c r="I794" s="490"/>
    </row>
    <row r="795" spans="1:11" hidden="1">
      <c r="A795" s="172"/>
      <c r="B795" s="485" t="s">
        <v>307</v>
      </c>
      <c r="C795" s="172"/>
      <c r="D795" s="1853" t="s">
        <v>1745</v>
      </c>
      <c r="E795" s="1853"/>
      <c r="F795" s="1853"/>
      <c r="G795" s="3"/>
      <c r="I795" s="483"/>
    </row>
    <row r="796" spans="1:11" hidden="1">
      <c r="A796" s="172"/>
      <c r="B796" s="172"/>
      <c r="C796" s="172"/>
      <c r="D796" s="1853"/>
      <c r="E796" s="1853"/>
      <c r="F796" s="1853"/>
      <c r="G796" s="3"/>
      <c r="I796" s="490"/>
    </row>
    <row r="797" spans="1:11" hidden="1">
      <c r="A797" s="172"/>
      <c r="B797" s="172"/>
      <c r="C797" s="172"/>
      <c r="D797" s="1853"/>
      <c r="E797" s="1853"/>
      <c r="F797" s="1853"/>
      <c r="G797" s="3"/>
      <c r="I797" s="490"/>
    </row>
    <row r="798" spans="1:11" hidden="1">
      <c r="A798" s="174"/>
      <c r="B798" s="174"/>
      <c r="C798" s="174"/>
      <c r="D798" s="3"/>
      <c r="E798" s="983"/>
      <c r="F798" s="983"/>
      <c r="G798" s="983"/>
      <c r="I798" s="490"/>
    </row>
    <row r="799" spans="1:11" ht="14.25" hidden="1">
      <c r="A799" s="175"/>
      <c r="B799" s="485" t="s">
        <v>307</v>
      </c>
      <c r="C799" s="984"/>
      <c r="D799" s="1853" t="s">
        <v>1746</v>
      </c>
      <c r="E799" s="1853"/>
      <c r="F799" s="1853"/>
      <c r="G799" s="983"/>
      <c r="I799" s="483"/>
    </row>
    <row r="800" spans="1:11" ht="14.25" hidden="1">
      <c r="A800" s="175"/>
      <c r="B800" s="175"/>
      <c r="C800" s="984"/>
      <c r="D800" s="1853"/>
      <c r="E800" s="1853"/>
      <c r="F800" s="1853"/>
      <c r="G800" s="983"/>
      <c r="I800" s="490"/>
    </row>
    <row r="801" spans="1:9" ht="14.25" hidden="1">
      <c r="A801" s="175"/>
      <c r="B801" s="175"/>
      <c r="C801" s="984"/>
      <c r="D801" s="1853"/>
      <c r="E801" s="1853"/>
      <c r="F801" s="1853"/>
      <c r="G801" s="983"/>
      <c r="I801" s="490"/>
    </row>
    <row r="802" spans="1:9" ht="14.25" hidden="1">
      <c r="A802" s="175"/>
      <c r="B802" s="175"/>
      <c r="C802" s="984"/>
      <c r="D802" s="118"/>
      <c r="E802" s="3"/>
      <c r="F802" s="3"/>
      <c r="G802" s="983"/>
      <c r="I802" s="490"/>
    </row>
    <row r="803" spans="1:9" ht="14.25" hidden="1">
      <c r="A803" s="175"/>
      <c r="B803" s="485" t="s">
        <v>307</v>
      </c>
      <c r="C803" s="984"/>
      <c r="D803" s="1853" t="s">
        <v>1747</v>
      </c>
      <c r="E803" s="1853"/>
      <c r="F803" s="1853"/>
      <c r="G803" s="983"/>
      <c r="I803" s="483"/>
    </row>
    <row r="804" spans="1:9" ht="14.25" hidden="1">
      <c r="A804" s="175"/>
      <c r="B804" s="175"/>
      <c r="C804" s="984"/>
      <c r="D804" s="1853"/>
      <c r="E804" s="1853"/>
      <c r="F804" s="1853"/>
      <c r="G804" s="983"/>
      <c r="I804" s="490"/>
    </row>
    <row r="805" spans="1:9" ht="14.25" hidden="1">
      <c r="A805" s="175"/>
      <c r="B805" s="175"/>
      <c r="C805" s="984"/>
      <c r="D805" s="1853"/>
      <c r="E805" s="1853"/>
      <c r="F805" s="1853"/>
      <c r="G805" s="983"/>
      <c r="I805" s="490"/>
    </row>
    <row r="806" spans="1:9" ht="14.25" hidden="1">
      <c r="A806" s="175"/>
      <c r="B806" s="175"/>
      <c r="C806" s="984"/>
      <c r="D806" s="1853"/>
      <c r="E806" s="1853"/>
      <c r="F806" s="1853"/>
      <c r="G806" s="983"/>
      <c r="I806" s="490"/>
    </row>
    <row r="807" spans="1:9" ht="14.25" hidden="1">
      <c r="A807" s="175"/>
      <c r="B807" s="175"/>
      <c r="C807" s="984"/>
      <c r="D807" s="1853"/>
      <c r="E807" s="1853"/>
      <c r="F807" s="1853"/>
      <c r="G807" s="983"/>
      <c r="I807" s="490"/>
    </row>
    <row r="808" spans="1:9" ht="14.25" hidden="1">
      <c r="A808" s="175"/>
      <c r="B808" s="175"/>
      <c r="C808" s="984"/>
      <c r="D808" s="1853"/>
      <c r="E808" s="1853"/>
      <c r="F808" s="1853"/>
      <c r="G808" s="983"/>
      <c r="I808" s="490"/>
    </row>
    <row r="809" spans="1:9" ht="14.25" hidden="1">
      <c r="A809" s="175"/>
      <c r="B809" s="175"/>
      <c r="C809" s="984"/>
      <c r="D809" s="1853" t="s">
        <v>1790</v>
      </c>
      <c r="E809" s="1853"/>
      <c r="F809" s="1853"/>
      <c r="G809" s="983"/>
      <c r="I809" s="490"/>
    </row>
    <row r="810" spans="1:9" ht="14.25" hidden="1">
      <c r="A810" s="175"/>
      <c r="B810" s="175"/>
      <c r="C810" s="984"/>
      <c r="D810" s="1853"/>
      <c r="E810" s="1853"/>
      <c r="F810" s="1853"/>
      <c r="G810" s="983"/>
      <c r="I810" s="490"/>
    </row>
    <row r="811" spans="1:9" ht="14.25" hidden="1">
      <c r="A811" s="175"/>
      <c r="B811" s="175"/>
      <c r="C811" s="984"/>
      <c r="D811" s="1853"/>
      <c r="E811" s="1853"/>
      <c r="F811" s="1853"/>
      <c r="G811" s="983"/>
      <c r="I811" s="490"/>
    </row>
    <row r="812" spans="1:9" ht="14.25" hidden="1">
      <c r="A812" s="175"/>
      <c r="B812" s="354"/>
      <c r="C812" s="984"/>
      <c r="D812" s="985"/>
      <c r="E812" s="985"/>
      <c r="F812" s="985"/>
      <c r="G812" s="983"/>
      <c r="I812" s="490"/>
    </row>
    <row r="813" spans="1:9" ht="14.25" hidden="1">
      <c r="A813" s="175"/>
      <c r="B813" s="485" t="s">
        <v>307</v>
      </c>
      <c r="C813" s="984"/>
      <c r="D813" s="1853" t="s">
        <v>1748</v>
      </c>
      <c r="E813" s="1853"/>
      <c r="F813" s="1853"/>
      <c r="G813" s="983"/>
      <c r="I813" s="483"/>
    </row>
    <row r="814" spans="1:9" ht="14.25" hidden="1">
      <c r="A814" s="175"/>
      <c r="B814" s="175"/>
      <c r="C814" s="984"/>
      <c r="D814" s="1853"/>
      <c r="E814" s="1853"/>
      <c r="F814" s="1853"/>
      <c r="G814" s="983"/>
      <c r="I814" s="490"/>
    </row>
    <row r="815" spans="1:9" ht="14.25" hidden="1">
      <c r="A815" s="175"/>
      <c r="B815" s="175"/>
      <c r="C815" s="984"/>
      <c r="D815" s="1853"/>
      <c r="E815" s="1853"/>
      <c r="F815" s="1853"/>
      <c r="G815" s="983"/>
      <c r="I815" s="490"/>
    </row>
    <row r="816" spans="1:9" ht="14.25" hidden="1">
      <c r="A816" s="175"/>
      <c r="B816" s="175"/>
      <c r="C816" s="984"/>
      <c r="D816" s="1853"/>
      <c r="E816" s="1853"/>
      <c r="F816" s="1853"/>
      <c r="G816" s="983"/>
      <c r="I816" s="490"/>
    </row>
    <row r="817" spans="1:9" ht="14.25" hidden="1">
      <c r="A817" s="175"/>
      <c r="B817" s="175"/>
      <c r="C817" s="984"/>
      <c r="D817" s="1853"/>
      <c r="E817" s="1853"/>
      <c r="F817" s="1853"/>
      <c r="G817" s="983"/>
      <c r="I817" s="490"/>
    </row>
    <row r="818" spans="1:9" ht="14.25" hidden="1">
      <c r="A818" s="175"/>
      <c r="B818" s="175"/>
      <c r="C818" s="984"/>
      <c r="D818" s="1853"/>
      <c r="E818" s="1853"/>
      <c r="F818" s="1853"/>
      <c r="G818" s="983"/>
      <c r="I818" s="490"/>
    </row>
    <row r="819" spans="1:9" ht="14.25" hidden="1">
      <c r="A819" s="175"/>
      <c r="B819" s="175"/>
      <c r="C819" s="984"/>
      <c r="D819" s="977"/>
      <c r="E819" s="977"/>
      <c r="F819" s="977"/>
      <c r="G819" s="983"/>
      <c r="I819" s="490"/>
    </row>
    <row r="820" spans="1:9" ht="14.25" hidden="1">
      <c r="A820" s="175"/>
      <c r="B820" s="485" t="s">
        <v>307</v>
      </c>
      <c r="C820" s="984"/>
      <c r="D820" s="1853" t="s">
        <v>1749</v>
      </c>
      <c r="E820" s="1853"/>
      <c r="F820" s="1853"/>
      <c r="G820" s="983"/>
      <c r="I820" s="483"/>
    </row>
    <row r="821" spans="1:9" ht="14.25" hidden="1">
      <c r="A821" s="175"/>
      <c r="B821" s="175"/>
      <c r="C821" s="984"/>
      <c r="D821" s="1853"/>
      <c r="E821" s="1853"/>
      <c r="F821" s="1853"/>
      <c r="G821" s="983"/>
      <c r="I821" s="490"/>
    </row>
    <row r="822" spans="1:9" ht="14.25" hidden="1">
      <c r="A822" s="175"/>
      <c r="B822" s="175"/>
      <c r="C822" s="984"/>
      <c r="D822" s="1853"/>
      <c r="E822" s="1853"/>
      <c r="F822" s="1853"/>
      <c r="G822" s="983"/>
      <c r="I822" s="490"/>
    </row>
    <row r="823" spans="1:9" ht="14.25" hidden="1">
      <c r="A823" s="175"/>
      <c r="B823" s="175"/>
      <c r="C823" s="984"/>
      <c r="D823" s="1853"/>
      <c r="E823" s="1853"/>
      <c r="F823" s="1853"/>
      <c r="G823" s="983"/>
      <c r="I823" s="490"/>
    </row>
    <row r="824" spans="1:9" ht="14.25" hidden="1">
      <c r="A824" s="175"/>
      <c r="B824" s="175"/>
      <c r="C824" s="984"/>
      <c r="D824" s="1853"/>
      <c r="E824" s="1853"/>
      <c r="F824" s="1853"/>
      <c r="G824" s="983"/>
      <c r="I824" s="490"/>
    </row>
    <row r="825" spans="1:9" ht="14.25" hidden="1">
      <c r="A825" s="175"/>
      <c r="B825" s="175"/>
      <c r="C825" s="984"/>
      <c r="D825" s="1853"/>
      <c r="E825" s="1853"/>
      <c r="F825" s="1853"/>
      <c r="G825" s="983"/>
      <c r="I825" s="490"/>
    </row>
    <row r="826" spans="1:9" ht="14.25" hidden="1">
      <c r="A826" s="175"/>
      <c r="B826" s="175"/>
      <c r="C826" s="984"/>
      <c r="D826" s="977"/>
      <c r="E826" s="977"/>
      <c r="F826" s="977"/>
      <c r="G826" s="983"/>
      <c r="I826" s="490"/>
    </row>
    <row r="827" spans="1:9" ht="14.25" hidden="1">
      <c r="A827" s="175"/>
      <c r="B827" s="485" t="s">
        <v>307</v>
      </c>
      <c r="C827" s="984"/>
      <c r="D827" s="1827" t="s">
        <v>1750</v>
      </c>
      <c r="E827" s="1827"/>
      <c r="F827" s="1827"/>
      <c r="G827" s="983"/>
      <c r="I827" s="483"/>
    </row>
    <row r="828" spans="1:9" ht="14.25" hidden="1">
      <c r="A828" s="175"/>
      <c r="B828" s="175"/>
      <c r="C828" s="984"/>
      <c r="D828" s="1827"/>
      <c r="E828" s="1827"/>
      <c r="F828" s="1827"/>
      <c r="G828" s="983"/>
      <c r="I828" s="490"/>
    </row>
    <row r="829" spans="1:9" hidden="1">
      <c r="A829" s="13"/>
      <c r="B829" s="13"/>
      <c r="C829" s="984"/>
      <c r="D829" s="1827"/>
      <c r="E829" s="1827"/>
      <c r="F829" s="1827"/>
      <c r="G829" s="983"/>
      <c r="I829" s="490"/>
    </row>
    <row r="830" spans="1:9" ht="14.25" hidden="1">
      <c r="A830" s="175"/>
      <c r="B830" s="13"/>
      <c r="C830" s="984"/>
      <c r="D830" s="1827"/>
      <c r="E830" s="1827"/>
      <c r="F830" s="1827"/>
      <c r="G830" s="983"/>
      <c r="I830" s="490"/>
    </row>
    <row r="831" spans="1:9" ht="12.75" hidden="1" customHeight="1">
      <c r="A831" s="175"/>
      <c r="B831" s="13"/>
      <c r="C831" s="984"/>
      <c r="D831" s="1827"/>
      <c r="E831" s="1827"/>
      <c r="F831" s="1827"/>
      <c r="G831" s="983"/>
      <c r="I831" s="490"/>
    </row>
    <row r="832" spans="1:9" ht="12.75" hidden="1" customHeight="1">
      <c r="A832" s="175"/>
      <c r="B832" s="13"/>
      <c r="C832" s="984"/>
      <c r="D832" s="1827"/>
      <c r="E832" s="1827"/>
      <c r="F832" s="1827"/>
      <c r="G832" s="983"/>
      <c r="I832" s="490"/>
    </row>
    <row r="833" spans="1:9" ht="12.75" hidden="1" customHeight="1">
      <c r="A833" s="13"/>
      <c r="B833" s="13"/>
      <c r="C833" s="984"/>
      <c r="D833" s="983"/>
      <c r="E833" s="3"/>
      <c r="F833" s="3"/>
      <c r="G833" s="983"/>
      <c r="I833" s="490"/>
    </row>
    <row r="834" spans="1:9" ht="12.75" customHeight="1">
      <c r="A834" s="1845" t="s">
        <v>1751</v>
      </c>
      <c r="B834" s="1845"/>
      <c r="C834" s="1845"/>
      <c r="D834" s="1845"/>
      <c r="E834" s="1845"/>
      <c r="F834" s="1845"/>
      <c r="G834" s="1845"/>
      <c r="H834" s="1023"/>
      <c r="I834" s="1147"/>
    </row>
    <row r="835" spans="1:9" ht="12.75" customHeight="1">
      <c r="A835" s="172"/>
      <c r="B835" s="172"/>
      <c r="C835" s="984"/>
      <c r="D835" s="983"/>
      <c r="E835" s="983"/>
      <c r="F835" s="983"/>
      <c r="G835" s="983"/>
      <c r="I835" s="490"/>
    </row>
    <row r="836" spans="1:9" ht="12.75" customHeight="1">
      <c r="A836" s="175"/>
      <c r="B836" s="175"/>
      <c r="C836" s="354"/>
      <c r="D836" s="1850" t="s">
        <v>1791</v>
      </c>
      <c r="E836" s="1850"/>
      <c r="F836" s="1850"/>
      <c r="G836" s="3"/>
      <c r="I836" s="490"/>
    </row>
    <row r="837" spans="1:9" ht="14.25" customHeight="1">
      <c r="A837" s="175"/>
      <c r="B837" s="175"/>
      <c r="C837" s="354"/>
      <c r="D837" s="1484" t="s">
        <v>1752</v>
      </c>
      <c r="E837" s="1484"/>
      <c r="F837" s="1484"/>
      <c r="G837" s="3"/>
      <c r="I837" s="490"/>
    </row>
    <row r="838" spans="1:9" ht="12.75" customHeight="1">
      <c r="A838" s="175"/>
      <c r="B838" s="175"/>
      <c r="C838" s="354"/>
      <c r="D838" s="441"/>
      <c r="E838" s="441"/>
      <c r="F838" s="441"/>
      <c r="G838" s="3"/>
      <c r="I838" s="490"/>
    </row>
    <row r="839" spans="1:9" ht="12.75" customHeight="1">
      <c r="A839" s="354"/>
      <c r="B839" s="485" t="s">
        <v>2791</v>
      </c>
      <c r="C839" s="984"/>
      <c r="D839" s="1484" t="s">
        <v>1753</v>
      </c>
      <c r="E839" s="1484"/>
      <c r="F839" s="1484"/>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59" t="s">
        <v>2031</v>
      </c>
      <c r="E842" s="1859"/>
      <c r="F842" s="1859"/>
      <c r="G842" s="3"/>
      <c r="I842" s="490"/>
    </row>
    <row r="843" spans="1:9" ht="12.75" hidden="1" customHeight="1">
      <c r="A843" s="13"/>
      <c r="B843" s="13"/>
      <c r="C843" s="984"/>
      <c r="D843" s="1859"/>
      <c r="E843" s="1859"/>
      <c r="F843" s="1859"/>
      <c r="G843" s="3"/>
      <c r="I843" s="490"/>
    </row>
    <row r="844" spans="1:9" ht="12.75" hidden="1" customHeight="1">
      <c r="A844" s="13"/>
      <c r="B844" s="13"/>
      <c r="C844" s="984"/>
      <c r="D844" s="1859"/>
      <c r="E844" s="1859"/>
      <c r="F844" s="1859"/>
      <c r="G844" s="3"/>
      <c r="I844" s="490"/>
    </row>
    <row r="845" spans="1:9" ht="12.75" hidden="1" customHeight="1">
      <c r="A845" s="13"/>
      <c r="B845" s="13"/>
      <c r="C845" s="984"/>
      <c r="D845" s="1859"/>
      <c r="E845" s="1859"/>
      <c r="F845" s="1859"/>
      <c r="G845" s="3"/>
      <c r="I845" s="490"/>
    </row>
    <row r="846" spans="1:9" ht="12.75" hidden="1" customHeight="1">
      <c r="A846" s="13"/>
      <c r="B846" s="13"/>
      <c r="C846" s="984"/>
      <c r="D846" s="1859"/>
      <c r="E846" s="1859"/>
      <c r="F846" s="1859"/>
      <c r="G846" s="3"/>
      <c r="I846" s="490"/>
    </row>
    <row r="847" spans="1:9" ht="12.75" hidden="1" customHeight="1">
      <c r="A847" s="13"/>
      <c r="B847" s="13"/>
      <c r="C847" s="984"/>
      <c r="D847" s="1859"/>
      <c r="E847" s="1859"/>
      <c r="F847" s="1859"/>
      <c r="G847" s="3"/>
      <c r="I847" s="490"/>
    </row>
    <row r="848" spans="1:9" ht="12.75" hidden="1" customHeight="1">
      <c r="A848" s="13"/>
      <c r="B848" s="13"/>
      <c r="C848" s="984"/>
      <c r="D848" s="1859"/>
      <c r="E848" s="1859"/>
      <c r="F848" s="1859"/>
      <c r="G848" s="3"/>
      <c r="I848" s="490"/>
    </row>
    <row r="849" spans="1:9" ht="12.75" hidden="1" customHeight="1">
      <c r="A849" s="13"/>
      <c r="B849" s="13"/>
      <c r="C849" s="984"/>
      <c r="D849" s="1859"/>
      <c r="E849" s="1859"/>
      <c r="F849" s="1859"/>
      <c r="G849" s="3"/>
      <c r="I849" s="490"/>
    </row>
    <row r="850" spans="1:9" ht="12.75" hidden="1" customHeight="1">
      <c r="A850" s="13"/>
      <c r="B850" s="13"/>
      <c r="C850" s="984"/>
      <c r="D850" s="1859"/>
      <c r="E850" s="1859"/>
      <c r="F850" s="1859"/>
      <c r="G850" s="3"/>
      <c r="I850" s="490"/>
    </row>
    <row r="851" spans="1:9" ht="12.75" hidden="1" customHeight="1">
      <c r="A851" s="13"/>
      <c r="B851" s="13"/>
      <c r="C851" s="984"/>
      <c r="D851" s="1859"/>
      <c r="E851" s="1859"/>
      <c r="F851" s="1859"/>
      <c r="G851" s="3"/>
      <c r="I851" s="490"/>
    </row>
    <row r="852" spans="1:9" ht="12.75" hidden="1" customHeight="1">
      <c r="A852" s="13"/>
      <c r="B852" s="13"/>
      <c r="C852" s="984"/>
      <c r="D852" s="986"/>
      <c r="E852" s="3"/>
      <c r="F852" s="3"/>
      <c r="G852" s="3"/>
      <c r="I852" s="490"/>
    </row>
    <row r="853" spans="1:9" ht="12.75" customHeight="1">
      <c r="A853" s="175"/>
      <c r="B853" s="485" t="s">
        <v>2791</v>
      </c>
      <c r="C853" s="984"/>
      <c r="D853" s="1484" t="s">
        <v>1754</v>
      </c>
      <c r="E853" s="1484"/>
      <c r="F853" s="1484"/>
      <c r="G853" s="3"/>
      <c r="I853" s="490" t="s">
        <v>1856</v>
      </c>
    </row>
    <row r="854" spans="1:9" ht="12.75" customHeight="1">
      <c r="A854" s="175"/>
      <c r="B854" s="175"/>
      <c r="C854" s="984"/>
      <c r="D854" s="1484"/>
      <c r="E854" s="1484"/>
      <c r="F854" s="1484"/>
      <c r="G854" s="3"/>
      <c r="I854" s="490"/>
    </row>
    <row r="855" spans="1:9" ht="12.75" customHeight="1">
      <c r="A855" s="175"/>
      <c r="B855" s="175"/>
      <c r="C855" s="984"/>
      <c r="D855" s="1484"/>
      <c r="E855" s="1484"/>
      <c r="F855" s="1484"/>
      <c r="G855" s="3"/>
      <c r="I855" s="490"/>
    </row>
    <row r="856" spans="1:9" ht="12.75" customHeight="1">
      <c r="A856" s="175"/>
      <c r="B856" s="175"/>
      <c r="C856" s="984"/>
      <c r="D856" s="118"/>
      <c r="E856" s="3"/>
      <c r="F856" s="3"/>
      <c r="G856" s="3"/>
      <c r="I856" s="490"/>
    </row>
    <row r="857" spans="1:9" ht="12.75" customHeight="1">
      <c r="A857" s="987"/>
      <c r="B857" s="485" t="s">
        <v>2792</v>
      </c>
      <c r="C857" s="984"/>
      <c r="D857" s="1850" t="s">
        <v>1755</v>
      </c>
      <c r="E857" s="1850"/>
      <c r="F857" s="1850"/>
      <c r="G857" s="3"/>
      <c r="I857" s="490"/>
    </row>
    <row r="858" spans="1:9" ht="12.75" customHeight="1">
      <c r="A858" s="354"/>
      <c r="B858" s="987"/>
      <c r="C858" s="984"/>
      <c r="D858" s="1850"/>
      <c r="E858" s="1850"/>
      <c r="F858" s="1850"/>
      <c r="G858" s="3"/>
      <c r="I858" s="490"/>
    </row>
    <row r="859" spans="1:9" ht="12.75" customHeight="1">
      <c r="A859" s="175"/>
      <c r="B859" s="354"/>
      <c r="C859" s="984"/>
      <c r="D859" s="1484" t="s">
        <v>2026</v>
      </c>
      <c r="E859" s="1484"/>
      <c r="F859" s="1484"/>
      <c r="G859" s="3"/>
      <c r="I859" s="490"/>
    </row>
    <row r="860" spans="1:9" ht="12.75" customHeight="1">
      <c r="A860" s="175"/>
      <c r="B860" s="175"/>
      <c r="C860" s="984"/>
      <c r="D860" s="1484"/>
      <c r="E860" s="1484"/>
      <c r="F860" s="1484"/>
      <c r="G860" s="3"/>
      <c r="I860" s="490"/>
    </row>
    <row r="861" spans="1:9" ht="12.75" customHeight="1">
      <c r="A861" s="175"/>
      <c r="B861" s="175"/>
      <c r="C861" s="984"/>
      <c r="D861" s="1484"/>
      <c r="E861" s="1484"/>
      <c r="F861" s="1484"/>
      <c r="G861" s="3"/>
      <c r="I861" s="490"/>
    </row>
    <row r="862" spans="1:9" ht="12.75" customHeight="1">
      <c r="A862" s="175"/>
      <c r="B862" s="175"/>
      <c r="C862" s="984"/>
      <c r="D862" s="1484"/>
      <c r="E862" s="1484"/>
      <c r="F862" s="1484"/>
      <c r="G862" s="3"/>
      <c r="I862" s="490"/>
    </row>
    <row r="863" spans="1:9" ht="12.75" customHeight="1">
      <c r="A863" s="175"/>
      <c r="B863" s="175"/>
      <c r="C863" s="984"/>
      <c r="D863" s="1484"/>
      <c r="E863" s="1484"/>
      <c r="F863" s="1484"/>
      <c r="G863" s="3"/>
      <c r="I863" s="490"/>
    </row>
    <row r="864" spans="1:9" ht="12.75" customHeight="1">
      <c r="A864" s="175"/>
      <c r="B864" s="175"/>
      <c r="C864" s="984"/>
      <c r="D864" s="1484"/>
      <c r="E864" s="1484"/>
      <c r="F864" s="1484"/>
      <c r="G864" s="3"/>
      <c r="I864" s="490"/>
    </row>
    <row r="865" spans="1:9" ht="12.75" customHeight="1">
      <c r="A865" s="175"/>
      <c r="B865" s="175"/>
      <c r="C865" s="984"/>
      <c r="D865" s="118"/>
      <c r="E865" s="3"/>
      <c r="F865" s="3"/>
      <c r="G865" s="3"/>
      <c r="I865" s="490"/>
    </row>
    <row r="866" spans="1:9" ht="12.75" customHeight="1">
      <c r="A866" s="175"/>
      <c r="B866" s="485" t="s">
        <v>2792</v>
      </c>
      <c r="C866" s="984"/>
      <c r="D866" s="1484" t="s">
        <v>1756</v>
      </c>
      <c r="E866" s="1484"/>
      <c r="F866" s="1484"/>
      <c r="G866" s="3"/>
      <c r="I866" s="490" t="s">
        <v>1854</v>
      </c>
    </row>
    <row r="867" spans="1:9" ht="12.75" customHeight="1">
      <c r="A867" s="175"/>
      <c r="B867" s="175"/>
      <c r="C867" s="984"/>
      <c r="D867" s="1484" t="s">
        <v>1757</v>
      </c>
      <c r="E867" s="1484"/>
      <c r="F867" s="1484"/>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2792</v>
      </c>
      <c r="C870" s="984"/>
      <c r="D870" s="1484" t="s">
        <v>1758</v>
      </c>
      <c r="E870" s="1484"/>
      <c r="F870" s="1484"/>
      <c r="G870" s="3"/>
      <c r="I870" s="490" t="s">
        <v>1857</v>
      </c>
    </row>
    <row r="871" spans="1:9" ht="12.75" customHeight="1">
      <c r="A871" s="175"/>
      <c r="B871" s="175"/>
      <c r="C871" s="984"/>
      <c r="D871" s="1484"/>
      <c r="E871" s="1484"/>
      <c r="F871" s="1484"/>
      <c r="G871" s="3"/>
      <c r="I871" s="490"/>
    </row>
    <row r="872" spans="1:9" ht="12.75" customHeight="1">
      <c r="A872" s="175"/>
      <c r="B872" s="175"/>
      <c r="C872" s="984"/>
      <c r="D872" s="1484"/>
      <c r="E872" s="1484"/>
      <c r="F872" s="1484"/>
      <c r="G872" s="3"/>
      <c r="I872" s="490"/>
    </row>
    <row r="873" spans="1:9" ht="12.75" customHeight="1">
      <c r="A873" s="175"/>
      <c r="B873" s="175"/>
      <c r="C873" s="984"/>
      <c r="D873" s="1484"/>
      <c r="E873" s="1484"/>
      <c r="F873" s="1484"/>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7" t="s">
        <v>1792</v>
      </c>
      <c r="E877" s="1857"/>
      <c r="F877" s="1857"/>
      <c r="G877" s="983"/>
      <c r="I877" s="490"/>
    </row>
    <row r="878" spans="1:9" ht="12.75" customHeight="1">
      <c r="A878" s="354"/>
      <c r="B878" s="354"/>
      <c r="C878" s="174"/>
      <c r="D878" s="1858" t="s">
        <v>1760</v>
      </c>
      <c r="E878" s="1858"/>
      <c r="F878" s="1858"/>
      <c r="G878" s="983"/>
      <c r="I878" s="490"/>
    </row>
    <row r="879" spans="1:9" ht="12.75" customHeight="1">
      <c r="A879" s="354"/>
      <c r="B879" s="354"/>
      <c r="C879" s="174"/>
      <c r="D879" s="990"/>
      <c r="E879" s="990"/>
      <c r="F879" s="990"/>
      <c r="G879" s="983"/>
      <c r="I879" s="490"/>
    </row>
    <row r="880" spans="1:9" ht="12.75" customHeight="1">
      <c r="A880" s="175"/>
      <c r="B880" s="485" t="s">
        <v>2791</v>
      </c>
      <c r="C880" s="354"/>
      <c r="D880" s="1837" t="s">
        <v>1761</v>
      </c>
      <c r="E880" s="1837"/>
      <c r="F880" s="1837"/>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2791</v>
      </c>
      <c r="C883" s="354"/>
      <c r="D883" s="1484" t="s">
        <v>1762</v>
      </c>
      <c r="E883" s="1847"/>
      <c r="F883" s="1847"/>
      <c r="G883" s="3"/>
      <c r="I883" s="490" t="s">
        <v>1857</v>
      </c>
    </row>
    <row r="884" spans="1:9" ht="12.75" customHeight="1">
      <c r="A884" s="354"/>
      <c r="B884" s="354"/>
      <c r="C884" s="354"/>
      <c r="D884" s="1847"/>
      <c r="E884" s="1847"/>
      <c r="F884" s="1847"/>
      <c r="G884" s="3"/>
      <c r="I884" s="490"/>
    </row>
    <row r="885" spans="1:9" ht="12.75" customHeight="1">
      <c r="A885" s="354"/>
      <c r="B885" s="354"/>
      <c r="C885" s="354"/>
      <c r="D885" s="118"/>
      <c r="E885" s="3"/>
      <c r="F885" s="3"/>
      <c r="G885" s="3"/>
      <c r="I885" s="490"/>
    </row>
    <row r="886" spans="1:9" ht="12.75" customHeight="1">
      <c r="A886" s="354"/>
      <c r="B886" s="485" t="s">
        <v>2792</v>
      </c>
      <c r="C886" s="354"/>
      <c r="D886" s="1848" t="s">
        <v>1763</v>
      </c>
      <c r="E886" s="1848"/>
      <c r="F886" s="1848"/>
      <c r="G886" s="983"/>
      <c r="I886" s="490"/>
    </row>
    <row r="887" spans="1:9" ht="12.75" customHeight="1">
      <c r="A887" s="354"/>
      <c r="B887" s="991"/>
      <c r="C887" s="354"/>
      <c r="D887" s="1848"/>
      <c r="E887" s="1848"/>
      <c r="F887" s="1848"/>
      <c r="G887" s="983"/>
      <c r="I887" s="490"/>
    </row>
    <row r="888" spans="1:9" ht="12.75" customHeight="1">
      <c r="A888" s="175"/>
      <c r="B888"/>
      <c r="C888" s="354"/>
      <c r="D888" s="1484" t="s">
        <v>2026</v>
      </c>
      <c r="E888" s="1484"/>
      <c r="F888" s="1484"/>
      <c r="G888" s="983"/>
      <c r="I888" s="490"/>
    </row>
    <row r="889" spans="1:9" ht="12.75" customHeight="1">
      <c r="A889" s="175"/>
      <c r="B889" s="175"/>
      <c r="C889" s="354"/>
      <c r="D889" s="1484"/>
      <c r="E889" s="1484"/>
      <c r="F889" s="1484"/>
      <c r="G889" s="983"/>
      <c r="I889" s="490"/>
    </row>
    <row r="890" spans="1:9" ht="12.75" customHeight="1">
      <c r="A890" s="175"/>
      <c r="B890" s="175"/>
      <c r="C890" s="354"/>
      <c r="D890" s="1484"/>
      <c r="E890" s="1484"/>
      <c r="F890" s="1484"/>
      <c r="G890" s="983"/>
      <c r="I890" s="490"/>
    </row>
    <row r="891" spans="1:9" ht="12.75" customHeight="1">
      <c r="A891" s="175"/>
      <c r="B891" s="175"/>
      <c r="C891" s="354"/>
      <c r="D891" s="1484"/>
      <c r="E891" s="1484"/>
      <c r="F891" s="1484"/>
      <c r="G891" s="983"/>
      <c r="I891" s="490"/>
    </row>
    <row r="892" spans="1:9" ht="12.75" customHeight="1">
      <c r="A892" s="175"/>
      <c r="B892" s="175"/>
      <c r="C892" s="354"/>
      <c r="D892" s="1484"/>
      <c r="E892" s="1484"/>
      <c r="F892" s="1484"/>
      <c r="G892" s="983"/>
      <c r="I892" s="490"/>
    </row>
    <row r="893" spans="1:9" ht="12.75" customHeight="1">
      <c r="A893" s="175"/>
      <c r="B893" s="175"/>
      <c r="C893" s="354"/>
      <c r="D893" s="1484"/>
      <c r="E893" s="1484"/>
      <c r="F893" s="1484"/>
      <c r="G893" s="983"/>
      <c r="I893" s="490"/>
    </row>
    <row r="894" spans="1:9" ht="12.75" customHeight="1">
      <c r="A894" s="175"/>
      <c r="B894" s="175"/>
      <c r="C894" s="354"/>
      <c r="D894" s="118"/>
      <c r="E894" s="983"/>
      <c r="F894" s="983"/>
      <c r="G894" s="983"/>
      <c r="I894" s="490"/>
    </row>
    <row r="895" spans="1:9" ht="12.75" customHeight="1">
      <c r="A895" s="175"/>
      <c r="B895" s="485" t="s">
        <v>2792</v>
      </c>
      <c r="C895" s="354"/>
      <c r="D895" s="1838" t="s">
        <v>1756</v>
      </c>
      <c r="E895" s="1838"/>
      <c r="F895" s="1838"/>
      <c r="G895" s="983"/>
      <c r="I895" s="490"/>
    </row>
    <row r="896" spans="1:9" ht="12.75" customHeight="1">
      <c r="A896" s="175"/>
      <c r="B896" s="175"/>
      <c r="C896" s="354"/>
      <c r="D896" s="1838" t="s">
        <v>1757</v>
      </c>
      <c r="E896" s="1838"/>
      <c r="F896" s="1838"/>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2792</v>
      </c>
      <c r="C899" s="354"/>
      <c r="D899" s="1484" t="s">
        <v>1758</v>
      </c>
      <c r="E899" s="1484"/>
      <c r="F899" s="1484"/>
      <c r="G899" s="983"/>
      <c r="I899" s="490"/>
    </row>
    <row r="900" spans="1:9" ht="12.75" customHeight="1">
      <c r="A900" s="175"/>
      <c r="B900" s="175"/>
      <c r="C900" s="354"/>
      <c r="D900" s="1484"/>
      <c r="E900" s="1484"/>
      <c r="F900" s="1484"/>
      <c r="G900" s="983"/>
      <c r="I900" s="490"/>
    </row>
    <row r="901" spans="1:9" ht="12.75" customHeight="1">
      <c r="A901" s="175"/>
      <c r="B901" s="175"/>
      <c r="C901" s="354"/>
      <c r="D901" s="1484"/>
      <c r="E901" s="1484"/>
      <c r="F901" s="1484"/>
      <c r="G901" s="983"/>
      <c r="I901" s="490"/>
    </row>
    <row r="902" spans="1:9" ht="12.75" customHeight="1">
      <c r="A902" s="175"/>
      <c r="B902" s="175"/>
      <c r="C902" s="354"/>
      <c r="D902" s="1484"/>
      <c r="E902" s="1484"/>
      <c r="F902" s="1484"/>
      <c r="G902" s="983"/>
      <c r="I902" s="490"/>
    </row>
    <row r="903" spans="1:9" ht="12.75" customHeight="1">
      <c r="A903" s="118"/>
      <c r="B903" s="118"/>
      <c r="C903" s="984"/>
      <c r="D903" s="983"/>
      <c r="E903" s="983"/>
      <c r="F903" s="983"/>
      <c r="G903" s="983"/>
      <c r="I903" s="490"/>
    </row>
    <row r="904" spans="1:9" ht="12.75" customHeight="1">
      <c r="A904" s="1845" t="s">
        <v>1793</v>
      </c>
      <c r="B904" s="1845"/>
      <c r="C904" s="1845"/>
      <c r="D904" s="1845"/>
      <c r="E904" s="1845"/>
      <c r="F904" s="1845"/>
      <c r="G904" s="1845"/>
      <c r="H904" s="1023"/>
      <c r="I904" s="1147"/>
    </row>
    <row r="905" spans="1:9" ht="12.75" customHeight="1">
      <c r="A905" s="57"/>
      <c r="B905" s="57"/>
      <c r="C905" s="57"/>
      <c r="D905" s="57"/>
      <c r="E905" s="57"/>
      <c r="F905" s="57"/>
      <c r="G905" s="57"/>
      <c r="I905" s="490"/>
    </row>
    <row r="906" spans="1:9" ht="12.75" customHeight="1">
      <c r="A906" s="57"/>
      <c r="B906" s="57"/>
      <c r="C906" s="57"/>
      <c r="D906" s="1861" t="s">
        <v>1799</v>
      </c>
      <c r="E906" s="1861"/>
      <c r="F906" s="1861"/>
      <c r="G906" s="57"/>
      <c r="I906" s="490"/>
    </row>
    <row r="907" spans="1:9" ht="12.75" customHeight="1">
      <c r="A907" s="57"/>
      <c r="B907" s="57"/>
      <c r="C907" s="57"/>
      <c r="D907" s="976"/>
      <c r="E907" s="976"/>
      <c r="F907" s="976"/>
      <c r="G907" s="57"/>
      <c r="I907" s="490"/>
    </row>
    <row r="908" spans="1:9" ht="12.75" customHeight="1">
      <c r="A908" s="57"/>
      <c r="B908" s="485" t="s">
        <v>2791</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61" t="s">
        <v>1794</v>
      </c>
      <c r="E910" s="1861"/>
      <c r="F910" s="1861"/>
      <c r="G910" s="983"/>
      <c r="I910" s="490"/>
    </row>
    <row r="911" spans="1:9" ht="12.75" customHeight="1">
      <c r="A911" s="172"/>
      <c r="B911" s="172"/>
      <c r="C911" s="172"/>
      <c r="D911" s="1837" t="s">
        <v>1764</v>
      </c>
      <c r="E911" s="1837"/>
      <c r="F911" s="1837"/>
      <c r="G911" s="983"/>
      <c r="I911" s="490"/>
    </row>
    <row r="912" spans="1:9" ht="12.75" customHeight="1">
      <c r="A912" s="984"/>
      <c r="B912" s="984"/>
      <c r="C912" s="984"/>
      <c r="D912" s="2"/>
      <c r="E912" s="983"/>
      <c r="F912" s="983"/>
      <c r="G912" s="983"/>
      <c r="I912" s="490"/>
    </row>
    <row r="913" spans="1:9" ht="12.75" customHeight="1">
      <c r="A913" s="175"/>
      <c r="B913" s="485" t="s">
        <v>2791</v>
      </c>
      <c r="C913" s="354"/>
      <c r="D913" s="1484" t="s">
        <v>1768</v>
      </c>
      <c r="E913" s="1484"/>
      <c r="F913" s="1484"/>
      <c r="G913" s="3"/>
      <c r="I913" s="490"/>
    </row>
    <row r="914" spans="1:9" ht="12.75" customHeight="1">
      <c r="A914" s="354"/>
      <c r="B914" s="354"/>
      <c r="C914" s="354"/>
      <c r="D914" s="1484"/>
      <c r="E914" s="1484"/>
      <c r="F914" s="1484"/>
      <c r="G914" s="3"/>
      <c r="I914" s="490"/>
    </row>
    <row r="915" spans="1:9" ht="12.75" customHeight="1">
      <c r="A915" s="172"/>
      <c r="B915" s="172"/>
      <c r="C915" s="172"/>
      <c r="D915" s="1484" t="s">
        <v>1767</v>
      </c>
      <c r="E915" s="1484"/>
      <c r="F915" s="1484"/>
      <c r="G915" s="983"/>
      <c r="I915" s="490"/>
    </row>
    <row r="916" spans="1:9" ht="12.75" customHeight="1">
      <c r="A916" s="172"/>
      <c r="B916" s="172"/>
      <c r="C916" s="172"/>
      <c r="D916" s="1484"/>
      <c r="E916" s="1484"/>
      <c r="F916" s="1484"/>
      <c r="G916" s="983"/>
      <c r="I916" s="490"/>
    </row>
    <row r="917" spans="1:9" ht="12.75" customHeight="1">
      <c r="A917" s="172"/>
      <c r="B917" s="172"/>
      <c r="C917" s="172"/>
      <c r="D917" s="3"/>
      <c r="E917" s="3"/>
      <c r="F917" s="983"/>
      <c r="G917" s="983"/>
      <c r="I917" s="490"/>
    </row>
    <row r="918" spans="1:9" ht="12.75" customHeight="1">
      <c r="A918" s="175"/>
      <c r="B918" s="485" t="s">
        <v>2791</v>
      </c>
      <c r="C918" s="174"/>
      <c r="D918" s="1804" t="s">
        <v>1765</v>
      </c>
      <c r="E918" s="1804"/>
      <c r="F918" s="1804"/>
      <c r="G918" s="983"/>
      <c r="I918" s="490"/>
    </row>
    <row r="919" spans="1:9" ht="12.75" customHeight="1">
      <c r="A919" s="175"/>
      <c r="B919" s="175"/>
      <c r="C919" s="174"/>
      <c r="D919" s="1804"/>
      <c r="E919" s="1804"/>
      <c r="F919" s="1804"/>
      <c r="G919" s="983"/>
      <c r="I919" s="490"/>
    </row>
    <row r="920" spans="1:9" ht="12.75" customHeight="1">
      <c r="A920" s="175"/>
      <c r="B920" s="175"/>
      <c r="C920" s="174"/>
      <c r="D920" s="1804"/>
      <c r="E920" s="1804"/>
      <c r="F920" s="1804"/>
      <c r="G920" s="983"/>
      <c r="I920" s="490"/>
    </row>
    <row r="921" spans="1:9" ht="12.75" customHeight="1">
      <c r="A921" s="175"/>
      <c r="B921" s="175"/>
      <c r="C921" s="174"/>
      <c r="D921" s="1804"/>
      <c r="E921" s="1804"/>
      <c r="F921" s="1804"/>
      <c r="G921" s="983"/>
      <c r="I921" s="490"/>
    </row>
    <row r="922" spans="1:9" ht="12.75" customHeight="1">
      <c r="A922" s="175"/>
      <c r="B922" s="175"/>
      <c r="C922" s="174"/>
      <c r="D922" s="1804"/>
      <c r="E922" s="1804"/>
      <c r="F922" s="1804"/>
      <c r="G922" s="983"/>
      <c r="I922" s="490"/>
    </row>
    <row r="923" spans="1:9" ht="12.75" customHeight="1">
      <c r="A923" s="174"/>
      <c r="B923" s="174"/>
      <c r="C923" s="174"/>
      <c r="D923" s="1804"/>
      <c r="E923" s="1804"/>
      <c r="F923" s="1804"/>
      <c r="G923" s="983"/>
      <c r="I923" s="490"/>
    </row>
    <row r="924" spans="1:9" ht="12.75" customHeight="1">
      <c r="A924" s="174"/>
      <c r="B924" s="174"/>
      <c r="C924" s="174"/>
      <c r="D924" s="1804"/>
      <c r="E924" s="1804"/>
      <c r="F924" s="1804"/>
      <c r="G924" s="983"/>
      <c r="I924" s="490"/>
    </row>
    <row r="925" spans="1:9" ht="12.75" customHeight="1">
      <c r="A925" s="174"/>
      <c r="B925" s="174"/>
      <c r="C925" s="174"/>
      <c r="D925" s="1804"/>
      <c r="E925" s="1804"/>
      <c r="F925" s="1804"/>
      <c r="G925" s="983"/>
      <c r="I925" s="490"/>
    </row>
    <row r="926" spans="1:9" ht="12.75" customHeight="1">
      <c r="A926" s="174"/>
      <c r="B926" s="174"/>
      <c r="C926" s="174"/>
      <c r="D926" s="335"/>
      <c r="E926" s="335"/>
      <c r="F926" s="335"/>
      <c r="G926" s="983"/>
      <c r="I926" s="490"/>
    </row>
    <row r="927" spans="1:9" ht="12.75" customHeight="1">
      <c r="A927" s="984"/>
      <c r="B927" s="485" t="s">
        <v>2792</v>
      </c>
      <c r="C927" s="984"/>
      <c r="D927" s="1484" t="s">
        <v>1769</v>
      </c>
      <c r="E927" s="1484"/>
      <c r="F927" s="1484"/>
      <c r="G927" s="983"/>
      <c r="I927" s="490"/>
    </row>
    <row r="928" spans="1:9" ht="12.75" customHeight="1">
      <c r="A928" s="984"/>
      <c r="B928" s="984"/>
      <c r="C928" s="984"/>
      <c r="D928" s="1484"/>
      <c r="E928" s="1484"/>
      <c r="F928" s="1484"/>
      <c r="G928" s="983"/>
      <c r="I928" s="490"/>
    </row>
    <row r="929" spans="1:9" ht="12.75" customHeight="1">
      <c r="A929" s="984"/>
      <c r="B929" s="984"/>
      <c r="C929" s="984"/>
      <c r="D929" s="983"/>
      <c r="E929" s="983"/>
      <c r="F929" s="983"/>
      <c r="G929" s="983"/>
      <c r="I929" s="490"/>
    </row>
    <row r="930" spans="1:9" ht="12.75" customHeight="1">
      <c r="A930" s="984"/>
      <c r="B930" s="485" t="s">
        <v>2792</v>
      </c>
      <c r="C930" s="984"/>
      <c r="D930" s="1827" t="s">
        <v>1770</v>
      </c>
      <c r="E930" s="1827"/>
      <c r="F930" s="1827"/>
      <c r="G930" s="983"/>
      <c r="I930" s="490"/>
    </row>
    <row r="931" spans="1:9" ht="12.75" customHeight="1">
      <c r="A931" s="984"/>
      <c r="B931" s="984"/>
      <c r="C931" s="984"/>
      <c r="D931" s="1827"/>
      <c r="E931" s="1827"/>
      <c r="F931" s="1827"/>
      <c r="G931" s="983"/>
      <c r="I931" s="490"/>
    </row>
    <row r="932" spans="1:9" ht="12.75" customHeight="1">
      <c r="A932" s="984"/>
      <c r="B932" s="984"/>
      <c r="C932" s="984"/>
      <c r="D932" s="1827"/>
      <c r="E932" s="1827"/>
      <c r="F932" s="1827"/>
      <c r="G932" s="983"/>
      <c r="I932" s="490"/>
    </row>
    <row r="933" spans="1:9" ht="12.75" customHeight="1">
      <c r="A933" s="984"/>
      <c r="B933" s="984"/>
      <c r="C933" s="984"/>
      <c r="D933" s="1827"/>
      <c r="E933" s="1827"/>
      <c r="F933" s="1827"/>
      <c r="G933" s="983"/>
      <c r="I933" s="490"/>
    </row>
    <row r="934" spans="1:9" ht="12.75" customHeight="1">
      <c r="A934" s="984"/>
      <c r="B934" s="984"/>
      <c r="C934" s="984"/>
      <c r="D934" s="118"/>
      <c r="E934" s="983"/>
      <c r="F934" s="983"/>
      <c r="G934" s="983"/>
      <c r="I934" s="490"/>
    </row>
    <row r="935" spans="1:9" ht="12.75" customHeight="1">
      <c r="A935" s="984"/>
      <c r="B935" s="485" t="s">
        <v>2792</v>
      </c>
      <c r="C935" s="984"/>
      <c r="D935" s="1837" t="s">
        <v>2027</v>
      </c>
      <c r="E935" s="1837"/>
      <c r="F935" s="1837"/>
      <c r="G935" s="983"/>
      <c r="I935" s="490"/>
    </row>
    <row r="936" spans="1:9" ht="12.75" customHeight="1">
      <c r="A936" s="984"/>
      <c r="B936" s="984"/>
      <c r="C936" s="984"/>
      <c r="D936" s="118"/>
      <c r="E936" s="983"/>
      <c r="F936" s="983"/>
      <c r="G936" s="983"/>
      <c r="I936" s="490"/>
    </row>
    <row r="937" spans="1:9" ht="12.75" customHeight="1">
      <c r="A937" s="984"/>
      <c r="B937" s="485" t="s">
        <v>2792</v>
      </c>
      <c r="C937" s="984"/>
      <c r="D937" s="1837" t="s">
        <v>2028</v>
      </c>
      <c r="E937" s="1837"/>
      <c r="F937" s="1837"/>
      <c r="G937" s="983"/>
      <c r="I937" s="490"/>
    </row>
    <row r="938" spans="1:9" ht="12.75" customHeight="1">
      <c r="A938" s="174"/>
      <c r="B938" s="174"/>
      <c r="C938" s="174"/>
      <c r="D938" s="2"/>
      <c r="E938" s="3"/>
      <c r="F938" s="983"/>
      <c r="G938" s="983"/>
      <c r="I938" s="490"/>
    </row>
    <row r="939" spans="1:9" ht="12.75" customHeight="1">
      <c r="A939" s="992"/>
      <c r="B939" s="485" t="s">
        <v>2792</v>
      </c>
      <c r="C939" s="993"/>
      <c r="D939" s="1804" t="s">
        <v>1766</v>
      </c>
      <c r="E939" s="1804"/>
      <c r="F939" s="1804"/>
      <c r="G939" s="994"/>
      <c r="I939" s="490"/>
    </row>
    <row r="940" spans="1:9" ht="12.75" customHeight="1">
      <c r="A940" s="992"/>
      <c r="B940" s="992"/>
      <c r="C940" s="993"/>
      <c r="D940" s="1804"/>
      <c r="E940" s="1804"/>
      <c r="F940" s="1804"/>
      <c r="G940" s="994"/>
      <c r="I940" s="490"/>
    </row>
    <row r="941" spans="1:9" ht="12.75" customHeight="1">
      <c r="A941" s="992"/>
      <c r="B941" s="992"/>
      <c r="C941" s="993"/>
      <c r="D941" s="1804"/>
      <c r="E941" s="1804"/>
      <c r="F941" s="1804"/>
      <c r="G941" s="994"/>
      <c r="I941" s="490"/>
    </row>
    <row r="942" spans="1:9" ht="12.75" customHeight="1">
      <c r="A942" s="992"/>
      <c r="B942" s="992"/>
      <c r="C942" s="993"/>
      <c r="D942" s="1804"/>
      <c r="E942" s="1804"/>
      <c r="F942" s="1804"/>
      <c r="G942" s="994"/>
      <c r="I942" s="490"/>
    </row>
    <row r="943" spans="1:9" ht="12.75" customHeight="1">
      <c r="A943" s="992"/>
      <c r="B943" s="992"/>
      <c r="C943" s="993"/>
      <c r="D943" s="1804"/>
      <c r="E943" s="1804"/>
      <c r="F943" s="1804"/>
      <c r="G943" s="994"/>
      <c r="I943" s="490"/>
    </row>
    <row r="944" spans="1:9" ht="12.75" customHeight="1">
      <c r="A944" s="992"/>
      <c r="B944" s="992"/>
      <c r="C944" s="993"/>
      <c r="D944" s="1804"/>
      <c r="E944" s="1804"/>
      <c r="F944" s="1804"/>
      <c r="G944" s="994"/>
      <c r="I944" s="490"/>
    </row>
    <row r="945" spans="1:9" ht="12.75" customHeight="1">
      <c r="A945" s="992"/>
      <c r="B945" s="992"/>
      <c r="C945" s="993"/>
      <c r="D945" s="1804"/>
      <c r="E945" s="1804"/>
      <c r="F945" s="1804"/>
      <c r="G945" s="994"/>
      <c r="I945" s="490"/>
    </row>
    <row r="946" spans="1:9" ht="12.75" customHeight="1">
      <c r="A946" s="992"/>
      <c r="B946" s="992"/>
      <c r="C946" s="993"/>
      <c r="D946" s="1804"/>
      <c r="E946" s="1804"/>
      <c r="F946" s="1804"/>
      <c r="G946" s="994"/>
      <c r="I946" s="490"/>
    </row>
    <row r="947" spans="1:9" ht="12.75" customHeight="1">
      <c r="A947" s="992"/>
      <c r="B947" s="992"/>
      <c r="C947" s="993"/>
      <c r="D947" s="1804"/>
      <c r="E947" s="1804"/>
      <c r="F947" s="1804"/>
      <c r="G947" s="994"/>
      <c r="I947" s="490"/>
    </row>
    <row r="948" spans="1:9" ht="12.75" customHeight="1">
      <c r="A948" s="174"/>
      <c r="B948" s="174"/>
      <c r="C948" s="174"/>
      <c r="D948" s="2"/>
      <c r="E948" s="3"/>
      <c r="F948" s="983"/>
      <c r="G948" s="983"/>
      <c r="I948" s="490"/>
    </row>
    <row r="949" spans="1:9" ht="12.75" customHeight="1">
      <c r="A949" s="175"/>
      <c r="B949" s="485" t="s">
        <v>2791</v>
      </c>
      <c r="C949" s="174"/>
      <c r="D949" s="1862" t="s">
        <v>1860</v>
      </c>
      <c r="E949" s="1862"/>
      <c r="F949" s="1862"/>
      <c r="G949" s="983"/>
      <c r="I949" s="490"/>
    </row>
    <row r="950" spans="1:9" ht="12.75" customHeight="1">
      <c r="A950" s="175"/>
      <c r="B950" s="175"/>
      <c r="C950" s="174"/>
      <c r="D950" s="1862"/>
      <c r="E950" s="1862"/>
      <c r="F950" s="1862"/>
      <c r="G950" s="983"/>
      <c r="I950" s="490"/>
    </row>
    <row r="951" spans="1:9" ht="12.75" customHeight="1">
      <c r="A951" s="175"/>
      <c r="B951" s="175"/>
      <c r="C951" s="174"/>
      <c r="D951" s="1862"/>
      <c r="E951" s="1862"/>
      <c r="F951" s="1862"/>
      <c r="G951" s="983"/>
      <c r="I951" s="490"/>
    </row>
    <row r="952" spans="1:9" ht="12.75" customHeight="1">
      <c r="A952" s="175"/>
      <c r="B952" s="175"/>
      <c r="C952" s="174"/>
      <c r="D952" s="1862"/>
      <c r="E952" s="1862"/>
      <c r="F952" s="1862"/>
      <c r="G952" s="983"/>
      <c r="I952" s="490"/>
    </row>
    <row r="953" spans="1:9" ht="12.75" customHeight="1">
      <c r="A953" s="175"/>
      <c r="B953" s="175"/>
      <c r="C953" s="174"/>
      <c r="D953" s="1862"/>
      <c r="E953" s="1862"/>
      <c r="F953" s="1862"/>
      <c r="G953" s="983"/>
      <c r="I953" s="490"/>
    </row>
    <row r="954" spans="1:9" ht="12.75" customHeight="1">
      <c r="A954" s="175"/>
      <c r="B954" s="175"/>
      <c r="C954" s="174"/>
      <c r="D954" s="1862"/>
      <c r="E954" s="1862"/>
      <c r="F954" s="1862"/>
      <c r="G954" s="983"/>
      <c r="I954" s="490"/>
    </row>
    <row r="955" spans="1:9" ht="12.75" customHeight="1">
      <c r="A955" s="175"/>
      <c r="B955" s="175"/>
      <c r="C955" s="174"/>
      <c r="D955" s="1862"/>
      <c r="E955" s="1862"/>
      <c r="F955" s="1862"/>
      <c r="G955" s="983"/>
      <c r="I955" s="490"/>
    </row>
    <row r="956" spans="1:9" ht="12.75" customHeight="1">
      <c r="A956" s="175"/>
      <c r="B956" s="175"/>
      <c r="C956" s="174"/>
      <c r="D956" s="1021"/>
      <c r="E956" s="1021"/>
      <c r="F956" s="1021"/>
      <c r="G956" s="983"/>
      <c r="I956" s="490"/>
    </row>
    <row r="957" spans="1:9" ht="12.75" customHeight="1">
      <c r="A957" s="175"/>
      <c r="B957" s="485" t="s">
        <v>2792</v>
      </c>
      <c r="C957" s="174"/>
      <c r="D957" s="1803" t="s">
        <v>2092</v>
      </c>
      <c r="E957" s="1803"/>
      <c r="F957" s="1803"/>
      <c r="G957" s="983"/>
      <c r="I957" s="490"/>
    </row>
    <row r="958" spans="1:9" ht="12.75" customHeight="1">
      <c r="A958" s="175"/>
      <c r="B958" s="175"/>
      <c r="C958" s="174"/>
      <c r="D958" s="1803"/>
      <c r="E958" s="1803"/>
      <c r="F958" s="1803"/>
      <c r="G958" s="983"/>
      <c r="I958" s="490"/>
    </row>
    <row r="959" spans="1:9" ht="12.75" customHeight="1">
      <c r="A959" s="175"/>
      <c r="B959" s="175"/>
      <c r="C959" s="174"/>
      <c r="D959" s="1803"/>
      <c r="E959" s="1803"/>
      <c r="F959" s="1803"/>
      <c r="G959" s="983"/>
      <c r="I959" s="490"/>
    </row>
    <row r="960" spans="1:9" ht="12.75" customHeight="1">
      <c r="A960" s="175"/>
      <c r="B960" s="175"/>
      <c r="C960" s="174"/>
      <c r="D960" s="1803"/>
      <c r="E960" s="1803"/>
      <c r="F960" s="1803"/>
      <c r="G960" s="983"/>
      <c r="I960" s="490"/>
    </row>
    <row r="961" spans="1:9" ht="12.75" customHeight="1">
      <c r="A961" s="175"/>
      <c r="B961" s="175"/>
      <c r="C961" s="174"/>
      <c r="D961" s="1803"/>
      <c r="E961" s="1803"/>
      <c r="F961" s="1803"/>
      <c r="G961" s="983"/>
      <c r="I961" s="490"/>
    </row>
    <row r="962" spans="1:9" ht="12.75" customHeight="1">
      <c r="A962" s="175"/>
      <c r="B962" s="175"/>
      <c r="C962" s="174"/>
      <c r="D962" s="1803"/>
      <c r="E962" s="1803"/>
      <c r="F962" s="1803"/>
      <c r="G962" s="983"/>
      <c r="I962" s="490"/>
    </row>
    <row r="963" spans="1:9" ht="12.75" customHeight="1">
      <c r="A963" s="175"/>
      <c r="B963" s="175"/>
      <c r="C963" s="174"/>
      <c r="D963" s="1021"/>
      <c r="E963" s="1021"/>
      <c r="F963" s="1021"/>
      <c r="G963" s="983"/>
      <c r="I963" s="490"/>
    </row>
    <row r="964" spans="1:9" ht="12.75" customHeight="1">
      <c r="A964" s="984"/>
      <c r="B964" s="485" t="s">
        <v>2792</v>
      </c>
      <c r="C964" s="984"/>
      <c r="D964" s="1827" t="s">
        <v>1771</v>
      </c>
      <c r="E964" s="1827"/>
      <c r="F964" s="1827"/>
      <c r="G964" s="983"/>
      <c r="I964" s="490"/>
    </row>
    <row r="965" spans="1:9" ht="12.75" customHeight="1">
      <c r="A965" s="984"/>
      <c r="B965" s="984"/>
      <c r="C965" s="984"/>
      <c r="D965" s="1827"/>
      <c r="E965" s="1827"/>
      <c r="F965" s="1827"/>
      <c r="G965" s="983"/>
      <c r="I965" s="490"/>
    </row>
    <row r="966" spans="1:9" ht="12.75" customHeight="1">
      <c r="A966" s="984"/>
      <c r="B966" s="984"/>
      <c r="C966" s="984"/>
      <c r="D966" s="1827"/>
      <c r="E966" s="1827"/>
      <c r="F966" s="182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2792</v>
      </c>
      <c r="C969" s="174"/>
      <c r="D969" s="1804" t="s">
        <v>1859</v>
      </c>
      <c r="E969" s="1804"/>
      <c r="F969" s="1804"/>
      <c r="G969" s="983"/>
      <c r="I969" s="490"/>
    </row>
    <row r="970" spans="1:9" ht="12.75" customHeight="1">
      <c r="A970" s="175"/>
      <c r="B970" s="175"/>
      <c r="C970" s="174"/>
      <c r="D970" s="1804"/>
      <c r="E970" s="1804"/>
      <c r="F970" s="1804"/>
      <c r="G970" s="983"/>
      <c r="I970" s="490"/>
    </row>
    <row r="971" spans="1:9" ht="12.75" customHeight="1">
      <c r="A971" s="175"/>
      <c r="B971" s="175"/>
      <c r="C971" s="174"/>
      <c r="D971" s="1804"/>
      <c r="E971" s="1804"/>
      <c r="F971" s="1804"/>
      <c r="G971" s="983"/>
      <c r="I971" s="490"/>
    </row>
    <row r="972" spans="1:9" ht="12.75" customHeight="1">
      <c r="A972" s="175"/>
      <c r="B972" s="175"/>
      <c r="C972" s="174"/>
      <c r="D972" s="1804"/>
      <c r="E972" s="1804"/>
      <c r="F972" s="1804"/>
      <c r="G972" s="983"/>
      <c r="I972" s="490"/>
    </row>
    <row r="973" spans="1:9" ht="12.75" customHeight="1">
      <c r="A973" s="984"/>
      <c r="B973" s="984"/>
      <c r="C973" s="984"/>
      <c r="D973" s="975"/>
      <c r="E973" s="975"/>
      <c r="F973" s="975"/>
      <c r="G973" s="975"/>
      <c r="I973" s="490"/>
    </row>
    <row r="974" spans="1:9" ht="12.75" customHeight="1">
      <c r="A974" s="354"/>
      <c r="B974" s="354"/>
      <c r="C974" s="354"/>
      <c r="D974" s="1857" t="s">
        <v>1772</v>
      </c>
      <c r="E974" s="1857"/>
      <c r="F974" s="1857"/>
      <c r="G974" s="3"/>
      <c r="I974" s="490"/>
    </row>
    <row r="975" spans="1:9" ht="12.75" customHeight="1">
      <c r="A975" s="175"/>
      <c r="B975" s="485" t="s">
        <v>2792</v>
      </c>
      <c r="C975" s="354"/>
      <c r="D975" s="1837" t="s">
        <v>1795</v>
      </c>
      <c r="E975" s="1837"/>
      <c r="F975" s="1837"/>
      <c r="G975" s="3"/>
      <c r="I975" s="490"/>
    </row>
    <row r="976" spans="1:9" ht="12.75" customHeight="1">
      <c r="A976" s="354"/>
      <c r="B976" s="354"/>
      <c r="C976" s="354"/>
      <c r="D976" s="3"/>
      <c r="E976" s="3"/>
      <c r="F976" s="3"/>
      <c r="G976" s="3"/>
      <c r="I976" s="490"/>
    </row>
    <row r="977" spans="1:9" ht="12.75" customHeight="1">
      <c r="A977" s="354"/>
      <c r="B977" s="354"/>
      <c r="C977" s="354"/>
      <c r="D977" s="1857" t="s">
        <v>1773</v>
      </c>
      <c r="E977" s="1857"/>
      <c r="F977" s="1857"/>
      <c r="G977"/>
      <c r="I977" s="490"/>
    </row>
    <row r="978" spans="1:9" ht="12.75" customHeight="1">
      <c r="A978" s="175"/>
      <c r="B978" s="485" t="s">
        <v>2792</v>
      </c>
      <c r="C978" s="354"/>
      <c r="D978" s="1484" t="s">
        <v>2029</v>
      </c>
      <c r="E978" s="1484"/>
      <c r="F978" s="1484"/>
      <c r="G978"/>
      <c r="I978" s="490"/>
    </row>
    <row r="979" spans="1:9" ht="12.75" customHeight="1">
      <c r="A979" s="175"/>
      <c r="B979" s="175"/>
      <c r="C979" s="354"/>
      <c r="D979" s="1484"/>
      <c r="E979" s="1484"/>
      <c r="F979" s="1484"/>
      <c r="G979"/>
      <c r="I979" s="490"/>
    </row>
    <row r="980" spans="1:9" ht="12.75" customHeight="1">
      <c r="A980" s="175"/>
      <c r="B980" s="175"/>
      <c r="C980" s="354"/>
      <c r="D980" s="1484"/>
      <c r="E980" s="1484"/>
      <c r="F980" s="1484"/>
      <c r="G980"/>
      <c r="I980" s="490"/>
    </row>
    <row r="981" spans="1:9" ht="12.75" customHeight="1">
      <c r="A981" s="175"/>
      <c r="B981" s="175"/>
      <c r="C981" s="354"/>
      <c r="D981" s="1484"/>
      <c r="E981" s="1484"/>
      <c r="F981" s="1484"/>
      <c r="G981"/>
      <c r="I981" s="490"/>
    </row>
    <row r="982" spans="1:9" ht="12.75" customHeight="1">
      <c r="A982" s="175"/>
      <c r="B982" s="175"/>
      <c r="C982" s="354"/>
      <c r="D982" s="1484"/>
      <c r="E982" s="1484"/>
      <c r="F982" s="1484"/>
      <c r="G982"/>
      <c r="I982" s="490"/>
    </row>
    <row r="983" spans="1:9" ht="12.75" customHeight="1">
      <c r="A983" s="175"/>
      <c r="B983" s="175"/>
      <c r="C983" s="354"/>
      <c r="D983" s="1484"/>
      <c r="E983" s="1484"/>
      <c r="F983" s="1484"/>
      <c r="G983"/>
      <c r="I983" s="490"/>
    </row>
    <row r="984" spans="1:9" ht="12.75" customHeight="1">
      <c r="A984" s="175"/>
      <c r="B984" s="175"/>
      <c r="C984" s="354"/>
      <c r="D984" s="1484"/>
      <c r="E984" s="1484"/>
      <c r="F984" s="1484"/>
      <c r="G984"/>
      <c r="I984" s="490"/>
    </row>
    <row r="985" spans="1:9" ht="12.75" customHeight="1">
      <c r="A985" s="175"/>
      <c r="B985" s="175"/>
      <c r="C985" s="354"/>
      <c r="D985" s="1484"/>
      <c r="E985" s="1484"/>
      <c r="F985" s="1484"/>
      <c r="G985"/>
      <c r="I985" s="490"/>
    </row>
    <row r="986" spans="1:9" ht="12.75" customHeight="1">
      <c r="A986" s="175"/>
      <c r="B986" s="175"/>
      <c r="C986" s="354"/>
      <c r="D986" s="1484"/>
      <c r="E986" s="1484"/>
      <c r="F986" s="1484"/>
      <c r="G986"/>
      <c r="I986" s="490"/>
    </row>
    <row r="987" spans="1:9" ht="12.75" customHeight="1">
      <c r="A987" s="175"/>
      <c r="B987" s="175"/>
      <c r="C987" s="354"/>
      <c r="D987" s="1484"/>
      <c r="E987" s="1484"/>
      <c r="F987" s="1484"/>
      <c r="G987"/>
      <c r="I987" s="490"/>
    </row>
    <row r="988" spans="1:9" ht="12.75" customHeight="1">
      <c r="A988" s="175"/>
      <c r="B988" s="175"/>
      <c r="C988" s="354"/>
      <c r="D988" s="1484"/>
      <c r="E988" s="1484"/>
      <c r="F988" s="1484"/>
      <c r="G988"/>
      <c r="I988" s="490"/>
    </row>
    <row r="989" spans="1:9" ht="12.75" customHeight="1">
      <c r="A989" s="175"/>
      <c r="B989" s="175"/>
      <c r="C989" s="354"/>
      <c r="D989" s="1484"/>
      <c r="E989" s="1484"/>
      <c r="F989" s="1484"/>
      <c r="G989"/>
      <c r="I989" s="490"/>
    </row>
    <row r="990" spans="1:9" ht="12.75" customHeight="1">
      <c r="A990" s="175"/>
      <c r="B990" s="175"/>
      <c r="C990" s="354"/>
      <c r="D990" s="1484"/>
      <c r="E990" s="1484"/>
      <c r="F990" s="1484"/>
      <c r="G990"/>
      <c r="I990" s="490"/>
    </row>
    <row r="991" spans="1:9" ht="12.75" customHeight="1">
      <c r="A991" s="175"/>
      <c r="B991" s="175"/>
      <c r="C991" s="354"/>
      <c r="D991" s="1484"/>
      <c r="E991" s="1484"/>
      <c r="F991" s="1484"/>
      <c r="G991"/>
      <c r="I991" s="490"/>
    </row>
    <row r="992" spans="1:9" ht="12.75" customHeight="1">
      <c r="A992" s="175"/>
      <c r="B992" s="175"/>
      <c r="C992" s="354"/>
      <c r="D992" s="1484"/>
      <c r="E992" s="1484"/>
      <c r="F992" s="1484"/>
      <c r="G992" s="3"/>
      <c r="I992" s="490"/>
    </row>
    <row r="993" spans="1:9" ht="12.75" customHeight="1">
      <c r="A993" s="354"/>
      <c r="B993" s="354"/>
      <c r="C993" s="354"/>
      <c r="D993" s="3"/>
      <c r="E993" s="3"/>
      <c r="F993" s="3"/>
      <c r="G993" s="3"/>
      <c r="I993" s="490"/>
    </row>
    <row r="994" spans="1:9" ht="12.75" customHeight="1">
      <c r="A994" s="1845" t="s">
        <v>1774</v>
      </c>
      <c r="B994" s="1845"/>
      <c r="C994" s="1845"/>
      <c r="D994" s="1845"/>
      <c r="E994" s="1845"/>
      <c r="F994" s="1845"/>
      <c r="G994" s="1845"/>
      <c r="H994" s="1023"/>
      <c r="I994" s="1147"/>
    </row>
    <row r="995" spans="1:9" ht="12.75" customHeight="1">
      <c r="A995" s="118"/>
      <c r="B995" s="118"/>
      <c r="C995" s="354"/>
      <c r="D995" s="3"/>
      <c r="E995" s="3"/>
      <c r="F995" s="3"/>
      <c r="G995" s="3"/>
      <c r="I995" s="490"/>
    </row>
    <row r="996" spans="1:9" ht="12.75" customHeight="1">
      <c r="A996" s="354"/>
      <c r="B996" s="354"/>
      <c r="C996" s="984"/>
      <c r="D996" s="1857" t="s">
        <v>1796</v>
      </c>
      <c r="E996" s="1857"/>
      <c r="F996" s="1857"/>
      <c r="G996" s="3"/>
      <c r="I996" s="490"/>
    </row>
    <row r="997" spans="1:9" ht="12.75" customHeight="1">
      <c r="A997" s="172"/>
      <c r="B997" s="172"/>
      <c r="C997" s="172"/>
      <c r="D997" s="1837" t="s">
        <v>1775</v>
      </c>
      <c r="E997" s="1837"/>
      <c r="F997" s="1837"/>
      <c r="G997" s="3"/>
      <c r="I997" s="490"/>
    </row>
    <row r="998" spans="1:9" ht="12.75" customHeight="1">
      <c r="A998" s="172"/>
      <c r="B998" s="172"/>
      <c r="C998" s="172"/>
      <c r="D998" s="3"/>
      <c r="E998" s="3"/>
      <c r="F998" s="983"/>
      <c r="G998"/>
      <c r="I998" s="490"/>
    </row>
    <row r="999" spans="1:9" ht="12.75" customHeight="1">
      <c r="A999" s="354"/>
      <c r="B999" s="485" t="s">
        <v>2791</v>
      </c>
      <c r="C999" s="354"/>
      <c r="D999" s="1865" t="s">
        <v>1888</v>
      </c>
      <c r="E999" s="1865"/>
      <c r="F999" s="1865"/>
      <c r="G999"/>
      <c r="I999" s="490"/>
    </row>
    <row r="1000" spans="1:9" ht="12.75" customHeight="1">
      <c r="A1000" s="354"/>
      <c r="B1000" s="354"/>
      <c r="C1000" s="354"/>
      <c r="D1000" s="1865"/>
      <c r="E1000" s="1865"/>
      <c r="F1000" s="186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515" t="s">
        <v>1887</v>
      </c>
      <c r="E1002" s="1515"/>
      <c r="F1002" s="1515"/>
      <c r="G1002"/>
      <c r="I1002" s="490"/>
    </row>
    <row r="1003" spans="1:9" ht="12.75" customHeight="1">
      <c r="A1003" s="354"/>
      <c r="B1003" s="354"/>
      <c r="C1003" s="354"/>
      <c r="D1003" s="1515"/>
      <c r="E1003" s="1515"/>
      <c r="F1003" s="1515"/>
      <c r="G1003"/>
      <c r="I1003" s="490"/>
    </row>
    <row r="1004" spans="1:9" ht="12.75" customHeight="1">
      <c r="A1004" s="174"/>
      <c r="B1004" s="174"/>
      <c r="C1004" s="174"/>
      <c r="D1004" s="1515"/>
      <c r="E1004" s="1515"/>
      <c r="F1004" s="1515"/>
      <c r="G1004"/>
      <c r="I1004" s="490"/>
    </row>
    <row r="1005" spans="1:9" ht="12.75" customHeight="1">
      <c r="A1005" s="174"/>
      <c r="B1005" s="174"/>
      <c r="C1005" s="174"/>
      <c r="D1005" s="1515"/>
      <c r="E1005" s="1515"/>
      <c r="F1005" s="1515"/>
      <c r="G1005"/>
      <c r="I1005" s="490"/>
    </row>
    <row r="1006" spans="1:9" ht="12.75" customHeight="1">
      <c r="A1006" s="174"/>
      <c r="B1006" s="174"/>
      <c r="C1006" s="174"/>
      <c r="D1006" s="335"/>
      <c r="E1006" s="335"/>
      <c r="F1006" s="335"/>
      <c r="G1006"/>
      <c r="I1006" s="490"/>
    </row>
    <row r="1007" spans="1:9" ht="12.75" customHeight="1">
      <c r="A1007" s="174"/>
      <c r="B1007" s="485" t="s">
        <v>2792</v>
      </c>
      <c r="C1007" s="174"/>
      <c r="D1007" s="1484" t="s">
        <v>1776</v>
      </c>
      <c r="E1007" s="1484"/>
      <c r="F1007" s="1484"/>
      <c r="G1007"/>
      <c r="I1007" s="490"/>
    </row>
    <row r="1008" spans="1:9" ht="12.75" customHeight="1">
      <c r="A1008" s="174"/>
      <c r="B1008" s="174"/>
      <c r="C1008" s="174"/>
      <c r="D1008" s="1484"/>
      <c r="E1008" s="1484"/>
      <c r="F1008" s="1484"/>
      <c r="G1008"/>
      <c r="I1008" s="490"/>
    </row>
    <row r="1009" spans="1:9" ht="12.75" customHeight="1">
      <c r="A1009" s="174"/>
      <c r="B1009" s="174"/>
      <c r="C1009" s="174"/>
      <c r="D1009" s="1484"/>
      <c r="E1009" s="1484"/>
      <c r="F1009" s="1484"/>
      <c r="G1009"/>
      <c r="I1009" s="490"/>
    </row>
    <row r="1010" spans="1:9" ht="12.75" customHeight="1">
      <c r="A1010" s="174"/>
      <c r="B1010" s="174"/>
      <c r="C1010" s="174"/>
      <c r="D1010" s="1484"/>
      <c r="E1010" s="1484"/>
      <c r="F1010" s="1484"/>
      <c r="G1010"/>
      <c r="I1010" s="490"/>
    </row>
    <row r="1011" spans="1:9" ht="12.75" customHeight="1">
      <c r="A1011" s="174"/>
      <c r="B1011" s="174"/>
      <c r="C1011" s="174"/>
      <c r="D1011" s="441"/>
      <c r="E1011" s="441"/>
      <c r="F1011" s="441"/>
      <c r="G1011"/>
      <c r="I1011" s="490"/>
    </row>
    <row r="1012" spans="1:9" ht="12.75" customHeight="1">
      <c r="A1012" s="174"/>
      <c r="B1012" s="485" t="s">
        <v>2792</v>
      </c>
      <c r="C1012" s="174"/>
      <c r="D1012" s="1484" t="s">
        <v>2183</v>
      </c>
      <c r="E1012" s="1484"/>
      <c r="F1012" s="1484"/>
      <c r="G1012"/>
      <c r="I1012" s="490"/>
    </row>
    <row r="1013" spans="1:9" ht="12.75" customHeight="1">
      <c r="A1013" s="174"/>
      <c r="B1013" s="174"/>
      <c r="C1013" s="174"/>
      <c r="D1013" s="1484"/>
      <c r="E1013" s="1484"/>
      <c r="F1013" s="1484"/>
      <c r="G1013"/>
      <c r="I1013" s="490"/>
    </row>
    <row r="1014" spans="1:9" ht="12.75" customHeight="1">
      <c r="A1014" s="174"/>
      <c r="B1014" s="174"/>
      <c r="C1014" s="174"/>
      <c r="D1014" s="441"/>
      <c r="E1014" s="441"/>
      <c r="F1014" s="441"/>
      <c r="G1014"/>
      <c r="I1014" s="490"/>
    </row>
    <row r="1015" spans="1:9" ht="12.75" customHeight="1">
      <c r="A1015" s="175"/>
      <c r="B1015" s="485" t="s">
        <v>2792</v>
      </c>
      <c r="C1015" s="354"/>
      <c r="D1015" s="1837" t="s">
        <v>1777</v>
      </c>
      <c r="E1015" s="1837"/>
      <c r="F1015" s="1837"/>
      <c r="G1015"/>
      <c r="I1015" s="490"/>
    </row>
    <row r="1016" spans="1:9" ht="12.75" customHeight="1">
      <c r="A1016" s="354"/>
      <c r="B1016" s="354"/>
      <c r="C1016" s="354"/>
      <c r="D1016" s="3"/>
      <c r="E1016" s="3"/>
      <c r="F1016" s="3"/>
      <c r="G1016"/>
      <c r="I1016" s="490"/>
    </row>
    <row r="1017" spans="1:9" ht="12.75" customHeight="1">
      <c r="A1017" s="175"/>
      <c r="B1017" s="485" t="s">
        <v>2792</v>
      </c>
      <c r="C1017" s="354"/>
      <c r="D1017" s="1837" t="s">
        <v>1778</v>
      </c>
      <c r="E1017" s="1837"/>
      <c r="F1017" s="1837"/>
      <c r="G1017"/>
      <c r="I1017" s="490"/>
    </row>
    <row r="1018" spans="1:9" ht="12.75" customHeight="1">
      <c r="A1018" s="354"/>
      <c r="B1018" s="354"/>
      <c r="C1018" s="354"/>
      <c r="D1018" s="118"/>
      <c r="E1018" s="3"/>
      <c r="F1018" s="3"/>
      <c r="G1018"/>
      <c r="I1018" s="490"/>
    </row>
    <row r="1019" spans="1:9" ht="12.75" customHeight="1">
      <c r="A1019" s="175"/>
      <c r="B1019" s="485" t="s">
        <v>2791</v>
      </c>
      <c r="C1019" s="354"/>
      <c r="D1019" s="1837" t="s">
        <v>1779</v>
      </c>
      <c r="E1019" s="1837"/>
      <c r="F1019" s="1837"/>
      <c r="G1019"/>
      <c r="I1019" s="490"/>
    </row>
    <row r="1020" spans="1:9" ht="12.75" customHeight="1">
      <c r="A1020" s="354"/>
      <c r="B1020" s="354"/>
      <c r="C1020" s="354"/>
      <c r="D1020" s="118"/>
      <c r="E1020" s="3"/>
      <c r="F1020" s="3"/>
      <c r="G1020"/>
      <c r="I1020" s="490"/>
    </row>
    <row r="1021" spans="1:9" ht="12.75" customHeight="1">
      <c r="A1021" s="175"/>
      <c r="B1021" s="485" t="s">
        <v>2791</v>
      </c>
      <c r="C1021" s="354"/>
      <c r="D1021" s="1484" t="s">
        <v>1780</v>
      </c>
      <c r="E1021" s="1484"/>
      <c r="F1021" s="1484"/>
      <c r="G1021"/>
      <c r="I1021" s="490"/>
    </row>
    <row r="1022" spans="1:9" ht="12.75" customHeight="1">
      <c r="A1022" s="175"/>
      <c r="B1022" s="175"/>
      <c r="C1022" s="354"/>
      <c r="D1022" s="1484"/>
      <c r="E1022" s="1484"/>
      <c r="F1022" s="1484"/>
      <c r="G1022"/>
      <c r="I1022" s="490"/>
    </row>
    <row r="1023" spans="1:9" ht="12.75" customHeight="1">
      <c r="A1023" s="175"/>
      <c r="B1023" s="175"/>
      <c r="C1023" s="354"/>
      <c r="D1023" s="118"/>
      <c r="E1023" s="3"/>
      <c r="F1023" s="3"/>
      <c r="G1023" s="3"/>
      <c r="I1023" s="490"/>
    </row>
    <row r="1024" spans="1:9" ht="12.75" customHeight="1">
      <c r="A1024" s="254"/>
      <c r="B1024" s="485" t="s">
        <v>2792</v>
      </c>
      <c r="C1024" s="995"/>
      <c r="D1024" s="1853" t="s">
        <v>1781</v>
      </c>
      <c r="E1024" s="1853"/>
      <c r="F1024" s="1853"/>
      <c r="G1024" s="996"/>
      <c r="I1024" s="490"/>
    </row>
    <row r="1025" spans="1:9" ht="12.75" customHeight="1">
      <c r="A1025" s="995"/>
      <c r="B1025" s="995"/>
      <c r="C1025" s="995"/>
      <c r="D1025" s="1853"/>
      <c r="E1025" s="1853"/>
      <c r="F1025" s="1853"/>
      <c r="G1025" s="996"/>
      <c r="I1025" s="490"/>
    </row>
    <row r="1026" spans="1:9" ht="12.75" customHeight="1">
      <c r="A1026" s="995"/>
      <c r="B1026" s="995"/>
      <c r="C1026" s="995"/>
      <c r="D1026" s="979"/>
      <c r="E1026" s="996"/>
      <c r="F1026" s="996"/>
      <c r="G1026" s="996"/>
      <c r="I1026" s="490"/>
    </row>
    <row r="1027" spans="1:9" ht="12.75" customHeight="1">
      <c r="A1027" s="254"/>
      <c r="B1027" s="485" t="s">
        <v>2792</v>
      </c>
      <c r="C1027" s="995"/>
      <c r="D1027" s="1866" t="s">
        <v>1782</v>
      </c>
      <c r="E1027" s="1866"/>
      <c r="F1027" s="1866"/>
      <c r="G1027" s="996"/>
      <c r="I1027" s="490"/>
    </row>
    <row r="1028" spans="1:9" ht="12.75" customHeight="1">
      <c r="A1028" s="995"/>
      <c r="B1028" s="995"/>
      <c r="C1028" s="995"/>
      <c r="D1028" s="979"/>
      <c r="E1028" s="996"/>
      <c r="F1028" s="996"/>
      <c r="G1028" s="996"/>
      <c r="I1028" s="490"/>
    </row>
    <row r="1029" spans="1:9" ht="12.75" customHeight="1">
      <c r="A1029" s="175"/>
      <c r="B1029" s="485" t="s">
        <v>2792</v>
      </c>
      <c r="C1029" s="354"/>
      <c r="D1029" s="1837" t="s">
        <v>1783</v>
      </c>
      <c r="E1029" s="1837"/>
      <c r="F1029" s="1837"/>
      <c r="G1029" s="3"/>
      <c r="I1029" s="490"/>
    </row>
    <row r="1030" spans="1:9" ht="12.75" customHeight="1">
      <c r="A1030" s="175"/>
      <c r="B1030" s="175"/>
      <c r="C1030" s="354"/>
      <c r="D1030" s="118"/>
      <c r="E1030" s="3"/>
      <c r="F1030" s="3"/>
      <c r="G1030" s="3"/>
      <c r="I1030" s="490"/>
    </row>
    <row r="1031" spans="1:9" ht="12.75" customHeight="1">
      <c r="A1031" s="175"/>
      <c r="B1031" s="485" t="s">
        <v>2792</v>
      </c>
      <c r="C1031" s="354"/>
      <c r="D1031" s="1484" t="s">
        <v>1784</v>
      </c>
      <c r="E1031" s="1484"/>
      <c r="F1031" s="1484"/>
      <c r="G1031" s="3"/>
      <c r="I1031" s="490"/>
    </row>
    <row r="1032" spans="1:9" ht="12.75" customHeight="1">
      <c r="A1032" s="175"/>
      <c r="B1032" s="175"/>
      <c r="C1032" s="354"/>
      <c r="D1032" s="1484"/>
      <c r="E1032" s="1484"/>
      <c r="F1032" s="1484"/>
      <c r="G1032" s="3"/>
      <c r="I1032" s="490"/>
    </row>
    <row r="1033" spans="1:9" ht="12.75" customHeight="1">
      <c r="A1033" s="354"/>
      <c r="B1033" s="354"/>
      <c r="C1033" s="354"/>
      <c r="D1033" s="3"/>
      <c r="E1033" s="3"/>
      <c r="F1033" s="3"/>
      <c r="G1033" s="3"/>
      <c r="I1033" s="490"/>
    </row>
    <row r="1034" spans="1:9" ht="12.75" customHeight="1">
      <c r="A1034" s="1845" t="s">
        <v>1785</v>
      </c>
      <c r="B1034" s="1845"/>
      <c r="C1034" s="1845"/>
      <c r="D1034" s="1845"/>
      <c r="E1034" s="1845"/>
      <c r="F1034" s="1845"/>
      <c r="G1034" s="1845"/>
      <c r="H1034" s="1023"/>
      <c r="I1034" s="1147"/>
    </row>
    <row r="1035" spans="1:9" ht="12.75" customHeight="1">
      <c r="A1035" s="354"/>
      <c r="B1035" s="354"/>
      <c r="C1035" s="354"/>
      <c r="D1035" s="3"/>
      <c r="E1035" s="3"/>
      <c r="F1035" s="3"/>
      <c r="G1035" s="3"/>
      <c r="I1035" s="490"/>
    </row>
    <row r="1036" spans="1:9" ht="12.75" customHeight="1">
      <c r="A1036" s="354"/>
      <c r="B1036" s="354"/>
      <c r="C1036" s="354"/>
      <c r="D1036" s="1861" t="s">
        <v>1786</v>
      </c>
      <c r="E1036" s="1861"/>
      <c r="F1036" s="1861"/>
      <c r="G1036" s="3"/>
      <c r="I1036" s="490"/>
    </row>
    <row r="1037" spans="1:9" ht="12.75" customHeight="1">
      <c r="A1037" s="354"/>
      <c r="B1037" s="354"/>
      <c r="C1037" s="354"/>
      <c r="D1037" s="1866" t="s">
        <v>1787</v>
      </c>
      <c r="E1037" s="1866"/>
      <c r="F1037" s="1866"/>
      <c r="G1037" s="3"/>
      <c r="I1037" s="490"/>
    </row>
    <row r="1038" spans="1:9" ht="12.75" customHeight="1">
      <c r="A1038" s="172"/>
      <c r="B1038" s="172"/>
      <c r="C1038" s="172"/>
      <c r="D1038" s="3"/>
      <c r="E1038" s="3"/>
      <c r="F1038" s="3"/>
      <c r="G1038" s="3"/>
      <c r="I1038" s="490"/>
    </row>
    <row r="1039" spans="1:9" ht="12.75" customHeight="1">
      <c r="A1039" s="175"/>
      <c r="B1039" s="175"/>
      <c r="C1039" s="174"/>
      <c r="D1039" s="1861" t="s">
        <v>1801</v>
      </c>
      <c r="E1039" s="1861"/>
      <c r="F1039" s="1861"/>
      <c r="G1039" s="3"/>
      <c r="I1039" s="490"/>
    </row>
    <row r="1040" spans="1:9" ht="12.75" customHeight="1">
      <c r="A1040" s="354"/>
      <c r="B1040" s="485" t="s">
        <v>2791</v>
      </c>
      <c r="C1040" s="354"/>
      <c r="D1040" s="1866" t="s">
        <v>1271</v>
      </c>
      <c r="E1040" s="1866"/>
      <c r="F1040" s="1866"/>
      <c r="G1040" s="3"/>
      <c r="I1040" s="490"/>
    </row>
    <row r="1041" spans="1:9" ht="12.75" customHeight="1">
      <c r="A1041" s="354"/>
      <c r="B1041" s="175"/>
      <c r="C1041" s="354"/>
      <c r="D1041" s="1866" t="s">
        <v>1788</v>
      </c>
      <c r="E1041" s="1866"/>
      <c r="F1041" s="1866"/>
      <c r="G1041" s="3"/>
      <c r="I1041" s="490"/>
    </row>
    <row r="1042" spans="1:9" ht="12.75" customHeight="1">
      <c r="A1042" s="354"/>
      <c r="B1042" s="354"/>
      <c r="C1042" s="354"/>
      <c r="D1042" s="1866"/>
      <c r="E1042" s="1866"/>
      <c r="F1042" s="1866"/>
      <c r="G1042" s="3"/>
      <c r="I1042" s="490"/>
    </row>
    <row r="1043" spans="1:9" ht="12.75" customHeight="1">
      <c r="A1043" s="1845" t="s">
        <v>1797</v>
      </c>
      <c r="B1043" s="1845"/>
      <c r="C1043" s="1845"/>
      <c r="D1043" s="1845"/>
      <c r="E1043" s="1845"/>
      <c r="F1043" s="1845"/>
      <c r="G1043" s="1845"/>
      <c r="H1043" s="1023"/>
      <c r="I1043" s="1147"/>
    </row>
    <row r="1044" spans="1:9" ht="12.75" customHeight="1">
      <c r="A1044" s="118"/>
      <c r="B1044" s="118"/>
      <c r="C1044" s="354"/>
      <c r="D1044" s="3"/>
      <c r="E1044" s="3"/>
      <c r="F1044" s="3"/>
      <c r="G1044" s="3"/>
      <c r="I1044" s="490"/>
    </row>
    <row r="1045" spans="1:9" ht="12.75" hidden="1" customHeight="1">
      <c r="A1045" s="118"/>
      <c r="B1045" s="402"/>
      <c r="D1045" s="1867" t="s">
        <v>1272</v>
      </c>
      <c r="E1045" s="1867"/>
      <c r="F1045" s="1867"/>
      <c r="G1045" s="3"/>
      <c r="I1045" s="490"/>
    </row>
    <row r="1046" spans="1:9" ht="12.75" hidden="1" customHeight="1">
      <c r="A1046" s="118"/>
      <c r="B1046" s="485" t="s">
        <v>307</v>
      </c>
      <c r="D1046" s="1832" t="s">
        <v>1271</v>
      </c>
      <c r="E1046" s="1832"/>
      <c r="F1046" s="1832"/>
      <c r="G1046" s="3"/>
      <c r="I1046" s="490"/>
    </row>
    <row r="1047" spans="1:9" ht="12.75" hidden="1" customHeight="1">
      <c r="A1047" s="118"/>
      <c r="B1047" s="402"/>
      <c r="D1047" s="1832" t="s">
        <v>1798</v>
      </c>
      <c r="E1047" s="1832"/>
      <c r="F1047" s="1832"/>
      <c r="G1047" s="3"/>
      <c r="I1047" s="490"/>
    </row>
    <row r="1048" spans="1:9" ht="12.75" hidden="1" customHeight="1">
      <c r="A1048" s="118"/>
      <c r="B1048" s="402"/>
      <c r="D1048" s="444"/>
      <c r="E1048" s="444"/>
      <c r="F1048" s="444"/>
      <c r="G1048" s="3"/>
      <c r="I1048" s="490"/>
    </row>
    <row r="1049" spans="1:9" ht="12.75" customHeight="1">
      <c r="A1049" s="118"/>
      <c r="B1049" s="118"/>
      <c r="C1049" s="354"/>
      <c r="D1049" s="1868" t="s">
        <v>1066</v>
      </c>
      <c r="E1049" s="1868"/>
      <c r="F1049" s="1868"/>
      <c r="G1049" s="3"/>
      <c r="I1049" s="490"/>
    </row>
    <row r="1050" spans="1:9" ht="12.75" customHeight="1">
      <c r="A1050" s="319"/>
      <c r="B1050" s="319"/>
      <c r="C1050" s="319"/>
      <c r="D1050" s="1838" t="s">
        <v>2200</v>
      </c>
      <c r="E1050" s="1838"/>
      <c r="F1050" s="1838"/>
      <c r="G1050" s="98"/>
      <c r="I1050" s="490"/>
    </row>
    <row r="1051" spans="1:9" ht="12.75" customHeight="1">
      <c r="A1051" s="175"/>
      <c r="B1051" s="485" t="s">
        <v>2792</v>
      </c>
      <c r="C1051" s="354"/>
      <c r="D1051" s="1838" t="s">
        <v>985</v>
      </c>
      <c r="E1051" s="1838"/>
      <c r="F1051" s="1838"/>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45" t="s">
        <v>2611</v>
      </c>
      <c r="B1054" s="1845"/>
      <c r="C1054" s="1845"/>
      <c r="D1054" s="1845"/>
      <c r="E1054" s="1845"/>
      <c r="F1054" s="1845"/>
      <c r="G1054" s="1845"/>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2791</v>
      </c>
      <c r="C1059" s="402"/>
      <c r="D1059" s="1819" t="s">
        <v>1802</v>
      </c>
      <c r="E1059" s="1819"/>
      <c r="F1059" s="1819"/>
      <c r="I1059" s="490"/>
    </row>
    <row r="1060" spans="1:9">
      <c r="A1060" s="402"/>
      <c r="B1060" s="402"/>
      <c r="C1060" s="402"/>
      <c r="D1060" s="1819"/>
      <c r="E1060" s="1819"/>
      <c r="F1060" s="1819"/>
      <c r="I1060" s="490"/>
    </row>
    <row r="1061" spans="1:9">
      <c r="A1061" s="402"/>
      <c r="B1061" s="402"/>
      <c r="C1061" s="402"/>
      <c r="D1061" s="1819"/>
      <c r="E1061" s="1819"/>
      <c r="F1061" s="1819"/>
      <c r="I1061" s="490"/>
    </row>
    <row r="1062" spans="1:9">
      <c r="A1062" s="402"/>
      <c r="B1062" s="402"/>
      <c r="C1062" s="402"/>
      <c r="D1062" s="1819"/>
      <c r="E1062" s="1819"/>
      <c r="F1062" s="1819"/>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2792</v>
      </c>
      <c r="C1067" s="402"/>
      <c r="D1067" s="402" t="s">
        <v>1800</v>
      </c>
      <c r="I1067" s="490"/>
    </row>
    <row r="1068" spans="1:9">
      <c r="A1068" s="402"/>
      <c r="B1068" s="402"/>
      <c r="C1068" s="402"/>
      <c r="I1068" s="490"/>
    </row>
    <row r="1069" spans="1:9">
      <c r="A1069" s="402"/>
      <c r="B1069" s="485" t="s">
        <v>2792</v>
      </c>
      <c r="C1069" s="402"/>
      <c r="D1069" s="1819" t="s">
        <v>1803</v>
      </c>
      <c r="E1069" s="1819"/>
      <c r="F1069" s="1819"/>
      <c r="I1069" s="490"/>
    </row>
    <row r="1070" spans="1:9">
      <c r="A1070" s="402"/>
      <c r="B1070" s="402"/>
      <c r="C1070" s="402"/>
      <c r="D1070" s="1819"/>
      <c r="E1070" s="1819"/>
      <c r="F1070" s="1819"/>
      <c r="I1070" s="490"/>
    </row>
    <row r="1071" spans="1:9">
      <c r="A1071" s="402"/>
      <c r="B1071" s="402"/>
      <c r="C1071" s="402"/>
      <c r="D1071" s="1819"/>
      <c r="E1071" s="1819"/>
      <c r="F1071" s="1819"/>
      <c r="I1071" s="490"/>
    </row>
    <row r="1072" spans="1:9">
      <c r="A1072" s="402"/>
      <c r="B1072" s="402"/>
      <c r="C1072" s="402"/>
      <c r="D1072" s="1819"/>
      <c r="E1072" s="1819"/>
      <c r="F1072" s="1819"/>
      <c r="I1072" s="490"/>
    </row>
    <row r="1073" spans="1:9">
      <c r="A1073" s="402"/>
      <c r="B1073" s="402"/>
      <c r="C1073" s="402"/>
      <c r="D1073" s="1819"/>
      <c r="E1073" s="1819"/>
      <c r="F1073" s="1819"/>
      <c r="I1073" s="490"/>
    </row>
    <row r="1074" spans="1:9">
      <c r="A1074" s="402"/>
      <c r="B1074" s="402"/>
      <c r="C1074" s="402"/>
      <c r="I1074" s="490"/>
    </row>
    <row r="1075" spans="1:9">
      <c r="A1075" s="1845" t="s">
        <v>1804</v>
      </c>
      <c r="B1075" s="1845"/>
      <c r="C1075" s="1845"/>
      <c r="D1075" s="1845"/>
      <c r="E1075" s="1845"/>
      <c r="F1075" s="1845"/>
      <c r="G1075" s="1845"/>
      <c r="H1075" s="1023"/>
      <c r="I1075" s="1147"/>
    </row>
    <row r="1076" spans="1:9">
      <c r="A1076" s="402"/>
      <c r="B1076" s="402"/>
      <c r="C1076" s="402"/>
      <c r="I1076" s="490"/>
    </row>
    <row r="1077" spans="1:9">
      <c r="A1077" s="402"/>
      <c r="B1077" s="402"/>
      <c r="C1077" s="402"/>
      <c r="I1077" s="490"/>
    </row>
    <row r="1078" spans="1:9">
      <c r="A1078" s="402"/>
      <c r="B1078" s="485" t="s">
        <v>2791</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2791</v>
      </c>
      <c r="C1081" s="402"/>
      <c r="D1081" s="1799" t="s">
        <v>2617</v>
      </c>
      <c r="E1081" s="1799"/>
      <c r="F1081" s="1799"/>
      <c r="I1081" s="490"/>
    </row>
    <row r="1082" spans="1:9">
      <c r="A1082" s="402"/>
      <c r="B1082" s="402"/>
      <c r="C1082" s="402"/>
      <c r="D1082" s="1799"/>
      <c r="E1082" s="1799"/>
      <c r="F1082" s="1799"/>
      <c r="I1082" s="490"/>
    </row>
    <row r="1083" spans="1:9">
      <c r="A1083" s="402"/>
      <c r="B1083" s="402"/>
      <c r="C1083" s="402"/>
      <c r="D1083" s="527" t="s">
        <v>2616</v>
      </c>
      <c r="I1083" s="490"/>
    </row>
    <row r="1084" spans="1:9">
      <c r="A1084" s="402"/>
      <c r="B1084" s="402"/>
      <c r="C1084" s="402"/>
      <c r="D1084" s="527"/>
      <c r="I1084" s="490"/>
    </row>
    <row r="1085" spans="1:9">
      <c r="A1085" s="402"/>
      <c r="B1085" s="485" t="s">
        <v>2792</v>
      </c>
      <c r="C1085" s="402"/>
      <c r="D1085" s="119" t="s">
        <v>2625</v>
      </c>
      <c r="I1085" s="490"/>
    </row>
    <row r="1086" spans="1:9">
      <c r="A1086" s="402"/>
      <c r="B1086" s="402"/>
      <c r="C1086" s="402"/>
      <c r="D1086" s="1484" t="s">
        <v>2627</v>
      </c>
      <c r="E1086" s="1484"/>
      <c r="F1086" s="1484"/>
      <c r="I1086" s="490"/>
    </row>
    <row r="1087" spans="1:9">
      <c r="A1087" s="402"/>
      <c r="B1087" s="402"/>
      <c r="C1087" s="402"/>
      <c r="D1087" s="1484"/>
      <c r="E1087" s="1484"/>
      <c r="F1087" s="1484"/>
      <c r="I1087" s="490"/>
    </row>
    <row r="1088" spans="1:9">
      <c r="A1088" s="402"/>
      <c r="B1088" s="402"/>
      <c r="C1088" s="402"/>
      <c r="D1088" s="1484"/>
      <c r="E1088" s="1484"/>
      <c r="F1088" s="1484"/>
      <c r="I1088" s="490"/>
    </row>
    <row r="1089" spans="1:9">
      <c r="A1089" s="402"/>
      <c r="B1089" s="402"/>
      <c r="C1089" s="402"/>
      <c r="D1089" s="1484"/>
      <c r="E1089" s="1484"/>
      <c r="F1089" s="1484"/>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2792</v>
      </c>
      <c r="C1093" s="402"/>
      <c r="D1093" s="1863" t="s">
        <v>1806</v>
      </c>
      <c r="E1093" s="1863"/>
      <c r="F1093" s="1863"/>
      <c r="I1093" s="490"/>
    </row>
    <row r="1094" spans="1:9">
      <c r="A1094" s="402"/>
      <c r="B1094" s="402"/>
      <c r="C1094" s="402"/>
      <c r="D1094" s="1863"/>
      <c r="E1094" s="1863"/>
      <c r="F1094" s="1863"/>
      <c r="I1094" s="490"/>
    </row>
    <row r="1095" spans="1:9">
      <c r="A1095" s="402"/>
      <c r="B1095" s="402"/>
      <c r="C1095" s="402"/>
      <c r="D1095" s="1863"/>
      <c r="E1095" s="1863"/>
      <c r="F1095" s="1863"/>
      <c r="I1095" s="490"/>
    </row>
    <row r="1096" spans="1:9">
      <c r="A1096" s="402"/>
      <c r="B1096" s="402"/>
      <c r="C1096" s="402"/>
      <c r="D1096" s="1863"/>
      <c r="E1096" s="1863"/>
      <c r="F1096" s="1863"/>
      <c r="I1096" s="490"/>
    </row>
    <row r="1097" spans="1:9">
      <c r="A1097" s="402"/>
      <c r="B1097" s="402"/>
      <c r="C1097" s="402"/>
      <c r="D1097" s="1863"/>
      <c r="E1097" s="1863"/>
      <c r="F1097" s="1863"/>
      <c r="I1097" s="490"/>
    </row>
    <row r="1098" spans="1:9">
      <c r="A1098" s="402"/>
      <c r="B1098" s="402"/>
      <c r="C1098" s="402"/>
      <c r="D1098" s="527" t="s">
        <v>2628</v>
      </c>
      <c r="I1098" s="490"/>
    </row>
    <row r="1099" spans="1:9">
      <c r="A1099" s="402"/>
      <c r="B1099" s="402"/>
      <c r="C1099" s="402"/>
      <c r="I1099" s="490"/>
    </row>
    <row r="1100" spans="1:9">
      <c r="A1100" s="402"/>
      <c r="B1100" s="485" t="s">
        <v>2792</v>
      </c>
      <c r="C1100" s="402"/>
      <c r="D1100" s="1814" t="s">
        <v>2221</v>
      </c>
      <c r="E1100" s="1814"/>
      <c r="F1100" s="1814"/>
      <c r="I1100" s="490"/>
    </row>
    <row r="1101" spans="1:9">
      <c r="A1101" s="402"/>
      <c r="B1101" s="402"/>
      <c r="C1101" s="402"/>
      <c r="D1101" s="1814"/>
      <c r="E1101" s="1814"/>
      <c r="F1101" s="1814"/>
      <c r="I1101" s="490"/>
    </row>
    <row r="1102" spans="1:9">
      <c r="A1102" s="402"/>
      <c r="B1102" s="402"/>
      <c r="C1102" s="402"/>
      <c r="D1102" s="1814"/>
      <c r="E1102" s="1814"/>
      <c r="F1102" s="1814"/>
      <c r="I1102" s="490"/>
    </row>
    <row r="1103" spans="1:9">
      <c r="A1103" s="402"/>
      <c r="B1103" s="402"/>
      <c r="C1103" s="402"/>
      <c r="I1103" s="490"/>
    </row>
    <row r="1104" spans="1:9">
      <c r="A1104" s="1845" t="s">
        <v>1808</v>
      </c>
      <c r="B1104" s="1845"/>
      <c r="C1104" s="1845"/>
      <c r="D1104" s="1845"/>
      <c r="E1104" s="1845"/>
      <c r="F1104" s="1845"/>
      <c r="G1104" s="1845"/>
      <c r="H1104" s="1023"/>
      <c r="I1104" s="1147"/>
    </row>
    <row r="1105" spans="1:9">
      <c r="A1105" s="402"/>
      <c r="B1105" s="402"/>
      <c r="C1105" s="402"/>
      <c r="I1105" s="490"/>
    </row>
    <row r="1106" spans="1:9">
      <c r="A1106" s="402"/>
      <c r="B1106" s="402"/>
      <c r="C1106" s="402"/>
      <c r="I1106" s="490"/>
    </row>
    <row r="1107" spans="1:9" ht="12.75" customHeight="1">
      <c r="A1107" s="402"/>
      <c r="B1107" s="485" t="s">
        <v>2792</v>
      </c>
      <c r="C1107" s="402"/>
      <c r="D1107" s="1777" t="s">
        <v>1902</v>
      </c>
      <c r="E1107" s="1777"/>
      <c r="F1107" s="1777"/>
      <c r="I1107" s="490"/>
    </row>
    <row r="1108" spans="1:9">
      <c r="A1108" s="402"/>
      <c r="B1108" s="402"/>
      <c r="C1108" s="402"/>
      <c r="D1108" s="1777"/>
      <c r="E1108" s="1777"/>
      <c r="F1108" s="1777"/>
      <c r="I1108" s="490"/>
    </row>
    <row r="1109" spans="1:9">
      <c r="A1109" s="402"/>
      <c r="B1109" s="402"/>
      <c r="C1109" s="402"/>
      <c r="D1109" s="1864" t="s">
        <v>2632</v>
      </c>
      <c r="E1109" s="1484"/>
      <c r="F1109" s="1484"/>
      <c r="I1109" s="490"/>
    </row>
    <row r="1110" spans="1:9">
      <c r="A1110" s="402"/>
      <c r="B1110" s="402"/>
      <c r="C1110" s="402"/>
      <c r="D1110" s="527"/>
      <c r="I1110" s="490"/>
    </row>
    <row r="1111" spans="1:9">
      <c r="A1111" s="402"/>
      <c r="B1111" s="485" t="s">
        <v>2791</v>
      </c>
      <c r="C1111" s="402"/>
      <c r="D1111" s="1863" t="s">
        <v>2580</v>
      </c>
      <c r="E1111" s="1863"/>
      <c r="F1111" s="1863"/>
      <c r="I1111" s="490"/>
    </row>
    <row r="1112" spans="1:9">
      <c r="A1112" s="402"/>
      <c r="B1112" s="402"/>
      <c r="C1112" s="402"/>
      <c r="D1112" s="1863"/>
      <c r="E1112" s="1863"/>
      <c r="F1112" s="1863"/>
      <c r="I1112" s="490"/>
    </row>
    <row r="1113" spans="1:9">
      <c r="A1113" s="402"/>
      <c r="B1113" s="402"/>
      <c r="C1113" s="402"/>
      <c r="D1113" s="1863"/>
      <c r="E1113" s="1863"/>
      <c r="F1113" s="1863"/>
      <c r="I1113" s="490"/>
    </row>
    <row r="1114" spans="1:9">
      <c r="A1114" s="402"/>
      <c r="B1114" s="402"/>
      <c r="C1114" s="402"/>
      <c r="D1114" s="527"/>
      <c r="I1114" s="490"/>
    </row>
    <row r="1115" spans="1:9">
      <c r="A1115" s="402"/>
      <c r="B1115" s="485" t="s">
        <v>2791</v>
      </c>
      <c r="C1115" s="402"/>
      <c r="D1115" s="1863" t="s">
        <v>2599</v>
      </c>
      <c r="E1115" s="1863"/>
      <c r="F1115" s="1863"/>
      <c r="I1115" s="490"/>
    </row>
    <row r="1116" spans="1:9">
      <c r="A1116" s="402"/>
      <c r="B1116" s="402"/>
      <c r="C1116" s="402"/>
      <c r="D1116" s="1863"/>
      <c r="E1116" s="1863"/>
      <c r="F1116" s="1863"/>
      <c r="I1116" s="490"/>
    </row>
    <row r="1117" spans="1:9">
      <c r="A1117" s="402"/>
      <c r="B1117" s="402"/>
      <c r="C1117" s="402"/>
      <c r="D1117" s="1863"/>
      <c r="E1117" s="1863"/>
      <c r="F1117" s="1863"/>
      <c r="I1117" s="490"/>
    </row>
    <row r="1118" spans="1:9">
      <c r="A1118" s="402"/>
      <c r="B1118" s="402"/>
      <c r="C1118" s="402"/>
      <c r="D1118" s="1863"/>
      <c r="E1118" s="1863"/>
      <c r="F1118" s="1863"/>
      <c r="I1118" s="490"/>
    </row>
    <row r="1119" spans="1:9">
      <c r="A1119" s="402"/>
      <c r="B1119" s="402"/>
      <c r="C1119" s="402"/>
      <c r="D1119" s="1863"/>
      <c r="E1119" s="1863"/>
      <c r="F1119" s="1863"/>
      <c r="I1119" s="490"/>
    </row>
    <row r="1120" spans="1:9">
      <c r="A1120" s="402"/>
      <c r="B1120" s="402"/>
      <c r="C1120" s="402"/>
      <c r="D1120" s="527"/>
      <c r="I1120" s="480"/>
    </row>
    <row r="1121" spans="1:9">
      <c r="A1121" s="402"/>
      <c r="B1121" s="485" t="s">
        <v>2792</v>
      </c>
      <c r="C1121" s="402"/>
      <c r="D1121" s="1863" t="s">
        <v>1809</v>
      </c>
      <c r="E1121" s="1863"/>
      <c r="F1121" s="1863"/>
      <c r="I1121" s="490"/>
    </row>
    <row r="1122" spans="1:9">
      <c r="A1122" s="402"/>
      <c r="B1122" s="402"/>
      <c r="C1122" s="402"/>
      <c r="D1122" s="1863"/>
      <c r="E1122" s="1863"/>
      <c r="F1122" s="1863"/>
      <c r="I1122" s="490"/>
    </row>
    <row r="1123" spans="1:9">
      <c r="A1123" s="402"/>
      <c r="B1123" s="402"/>
      <c r="C1123" s="402"/>
      <c r="D1123" s="1863"/>
      <c r="E1123" s="1863"/>
      <c r="F1123" s="1863"/>
      <c r="I1123" s="490"/>
    </row>
    <row r="1124" spans="1:9">
      <c r="A1124" s="402"/>
      <c r="B1124" s="402"/>
      <c r="C1124" s="402"/>
      <c r="D1124" s="527"/>
      <c r="I1124" s="490"/>
    </row>
    <row r="1125" spans="1:9">
      <c r="A1125" s="402"/>
      <c r="B1125" s="485" t="s">
        <v>2791</v>
      </c>
      <c r="C1125" s="402"/>
      <c r="D1125" s="1515" t="s">
        <v>1861</v>
      </c>
      <c r="E1125" s="1515"/>
      <c r="F1125" s="1515"/>
      <c r="I1125" s="490"/>
    </row>
    <row r="1126" spans="1:9">
      <c r="A1126" s="402"/>
      <c r="B1126" s="402"/>
      <c r="C1126" s="402"/>
      <c r="D1126" s="1515"/>
      <c r="E1126" s="1515"/>
      <c r="F1126" s="1515"/>
      <c r="I1126" s="490"/>
    </row>
    <row r="1127" spans="1:9">
      <c r="A1127" s="402"/>
      <c r="B1127" s="402"/>
      <c r="C1127" s="402"/>
      <c r="D1127" s="1515"/>
      <c r="E1127" s="1515"/>
      <c r="F1127" s="1515"/>
      <c r="I1127" s="490"/>
    </row>
    <row r="1128" spans="1:9">
      <c r="A1128" s="402"/>
      <c r="B1128" s="402"/>
      <c r="C1128" s="402"/>
      <c r="D1128" s="975"/>
      <c r="E1128" s="975"/>
      <c r="F1128" s="975"/>
      <c r="I1128" s="490"/>
    </row>
    <row r="1129" spans="1:9" ht="15.75" customHeight="1">
      <c r="A1129" s="402"/>
      <c r="B1129" s="485" t="s">
        <v>2792</v>
      </c>
      <c r="C1129" s="402"/>
      <c r="D1129" s="1484" t="s">
        <v>1862</v>
      </c>
      <c r="E1129" s="1484"/>
      <c r="F1129" s="1484"/>
      <c r="I1129" s="490"/>
    </row>
    <row r="1130" spans="1:9">
      <c r="A1130" s="402"/>
      <c r="B1130" s="402"/>
      <c r="C1130" s="402"/>
      <c r="D1130" s="1484"/>
      <c r="E1130" s="1484"/>
      <c r="F1130" s="1484"/>
      <c r="I1130" s="490"/>
    </row>
    <row r="1131" spans="1:9">
      <c r="A1131" s="402"/>
      <c r="B1131" s="402"/>
      <c r="C1131" s="402"/>
      <c r="D1131" s="1484"/>
      <c r="E1131" s="1484"/>
      <c r="F1131" s="1484"/>
      <c r="I1131" s="490"/>
    </row>
    <row r="1132" spans="1:9">
      <c r="A1132" s="402"/>
      <c r="B1132" s="402"/>
      <c r="C1132" s="402"/>
      <c r="D1132" s="1484"/>
      <c r="E1132" s="1484"/>
      <c r="F1132" s="1484"/>
      <c r="I1132" s="490"/>
    </row>
    <row r="1133" spans="1:9">
      <c r="A1133" s="402"/>
      <c r="B1133" s="402"/>
      <c r="C1133" s="402"/>
      <c r="D1133" s="975"/>
      <c r="E1133" s="975"/>
      <c r="F1133" s="975"/>
      <c r="I1133" s="490"/>
    </row>
    <row r="1134" spans="1:9">
      <c r="A1134" s="402"/>
      <c r="B1134" s="485" t="s">
        <v>2792</v>
      </c>
      <c r="C1134" s="402"/>
      <c r="D1134" s="1515" t="s">
        <v>2609</v>
      </c>
      <c r="E1134" s="1515"/>
      <c r="F1134" s="1515"/>
      <c r="I1134" s="490"/>
    </row>
    <row r="1135" spans="1:9">
      <c r="A1135" s="402"/>
      <c r="B1135" s="402"/>
      <c r="C1135" s="402"/>
      <c r="D1135" s="1515"/>
      <c r="E1135" s="1515"/>
      <c r="F1135" s="1515"/>
      <c r="I1135" s="490"/>
    </row>
    <row r="1136" spans="1:9">
      <c r="A1136" s="402"/>
      <c r="B1136" s="402"/>
      <c r="C1136" s="402"/>
      <c r="D1136" s="1515"/>
      <c r="E1136" s="1515"/>
      <c r="F1136" s="1515"/>
      <c r="I1136" s="490"/>
    </row>
    <row r="1137" spans="1:9">
      <c r="A1137" s="402"/>
      <c r="B1137" s="402"/>
      <c r="C1137" s="402"/>
      <c r="D1137" s="1515"/>
      <c r="E1137" s="1515"/>
      <c r="F1137" s="1515"/>
      <c r="I1137" s="490"/>
    </row>
    <row r="1138" spans="1:9">
      <c r="A1138" s="402"/>
      <c r="B1138" s="402"/>
      <c r="C1138" s="402"/>
      <c r="D1138" s="1515"/>
      <c r="E1138" s="1515"/>
      <c r="F1138" s="1515"/>
      <c r="I1138" s="490"/>
    </row>
    <row r="1139" spans="1:9">
      <c r="A1139" s="402"/>
      <c r="B1139" s="402"/>
      <c r="C1139" s="402"/>
      <c r="D1139" s="1515"/>
      <c r="E1139" s="1515"/>
      <c r="F1139" s="1515"/>
      <c r="I1139" s="490"/>
    </row>
    <row r="1140" spans="1:9">
      <c r="A1140" s="402"/>
      <c r="B1140" s="402"/>
      <c r="C1140" s="402"/>
      <c r="D1140" s="975"/>
      <c r="E1140" s="975"/>
      <c r="F1140" s="975"/>
      <c r="I1140" s="490"/>
    </row>
    <row r="1141" spans="1:9">
      <c r="A1141" s="402"/>
      <c r="B1141" s="485" t="s">
        <v>2792</v>
      </c>
      <c r="C1141" s="402"/>
      <c r="D1141" s="1819" t="s">
        <v>2581</v>
      </c>
      <c r="E1141" s="1819"/>
      <c r="F1141" s="1819"/>
      <c r="I1141" s="1153"/>
    </row>
    <row r="1142" spans="1:9">
      <c r="A1142" s="402"/>
      <c r="B1142" s="402"/>
      <c r="C1142" s="402"/>
      <c r="D1142" s="1819"/>
      <c r="E1142" s="1819"/>
      <c r="F1142" s="1819"/>
      <c r="I1142" s="490"/>
    </row>
    <row r="1143" spans="1:9">
      <c r="A1143" s="402"/>
      <c r="B1143" s="402"/>
      <c r="C1143" s="402"/>
      <c r="D1143" s="1819"/>
      <c r="E1143" s="1819"/>
      <c r="F1143" s="1819"/>
    </row>
    <row r="1144" spans="1:9">
      <c r="A1144" s="402"/>
      <c r="B1144" s="402"/>
      <c r="C1144" s="402"/>
      <c r="D1144" s="1819"/>
      <c r="E1144" s="1819"/>
      <c r="F1144" s="1819"/>
    </row>
    <row r="1145" spans="1:9">
      <c r="A1145" s="402"/>
      <c r="B1145" s="402"/>
      <c r="C1145" s="402"/>
      <c r="D1145" s="1819"/>
      <c r="E1145" s="1819"/>
      <c r="F1145" s="1819"/>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1"/>
      <c r="H1553" s="1831"/>
      <c r="I1553" s="1831"/>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616" workbookViewId="0">
      <selection activeCell="AO641" sqref="AO641:AS641"/>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Northern (Butte, El Dorado, Placer, Sacramento, San Joaquin, Shasta, Solano, Sutter, Yuba, and Yolo Counties)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23</v>
      </c>
    </row>
    <row r="8" spans="1:58" ht="26.25" customHeight="1">
      <c r="A8" s="1773" t="s">
        <v>100</v>
      </c>
      <c r="B8" s="1773"/>
      <c r="C8" s="1773"/>
      <c r="D8" s="1773"/>
      <c r="E8" s="1773"/>
      <c r="F8" s="1773"/>
      <c r="G8" s="1773"/>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c r="AT8" s="1773"/>
      <c r="AU8" s="894"/>
      <c r="AV8" s="894"/>
      <c r="AW8" s="894"/>
      <c r="AX8" s="894"/>
      <c r="AY8" s="894"/>
      <c r="BD8" s="3" t="s">
        <v>2439</v>
      </c>
      <c r="BE8" s="1183">
        <f>SUMIF($AC$726:$AC$760,"&lt;=35%",$G$726:G$760)-SUM($BE$5:BE7)</f>
        <v>0</v>
      </c>
    </row>
    <row r="9" spans="1:58" ht="12.95" customHeight="1">
      <c r="A9" s="1774" t="s">
        <v>2032</v>
      </c>
      <c r="B9" s="1774"/>
      <c r="C9" s="1774"/>
      <c r="D9" s="1774"/>
      <c r="E9" s="1774"/>
      <c r="F9" s="1774"/>
      <c r="G9" s="1774"/>
      <c r="H9" s="1774"/>
      <c r="I9" s="1774"/>
      <c r="J9" s="1774"/>
      <c r="K9" s="1774"/>
      <c r="L9" s="1774"/>
      <c r="M9" s="1774"/>
      <c r="N9" s="1774"/>
      <c r="O9" s="1774"/>
      <c r="P9" s="1774"/>
      <c r="Q9" s="1774"/>
      <c r="R9" s="1774"/>
      <c r="S9" s="1774"/>
      <c r="T9" s="1774"/>
      <c r="U9" s="1774"/>
      <c r="V9" s="1774"/>
      <c r="W9" s="1774"/>
      <c r="X9" s="1774"/>
      <c r="Y9" s="1774"/>
      <c r="Z9" s="1774"/>
      <c r="AA9" s="1774"/>
      <c r="AB9" s="1774"/>
      <c r="AC9" s="1774"/>
      <c r="AD9" s="1774"/>
      <c r="AE9" s="1774"/>
      <c r="AF9" s="1774"/>
      <c r="AG9" s="1774"/>
      <c r="AH9" s="1774"/>
      <c r="AI9" s="1774"/>
      <c r="AJ9" s="1774"/>
      <c r="AK9" s="1774"/>
      <c r="AL9" s="1774"/>
      <c r="AM9" s="1774"/>
      <c r="AN9" s="1774"/>
      <c r="AO9" s="1774"/>
      <c r="AP9" s="1774"/>
      <c r="AQ9" s="1774"/>
      <c r="AR9" s="1774"/>
      <c r="AS9" s="1774"/>
      <c r="AT9" s="1774"/>
      <c r="AU9" s="13"/>
      <c r="AV9" s="13"/>
      <c r="AW9" s="13"/>
      <c r="AX9" s="13"/>
      <c r="AY9" s="13"/>
      <c r="BD9" s="1182" t="s">
        <v>2431</v>
      </c>
      <c r="BE9" s="1183">
        <f>SUMIF($AC$726:$AC$760,"&lt;=40%",$G$726:G$760)-SUM($BE$5:BE8)</f>
        <v>0</v>
      </c>
    </row>
    <row r="10" spans="1:58" ht="12.95" customHeight="1">
      <c r="A10" s="1774" t="s">
        <v>2601</v>
      </c>
      <c r="B10" s="1774"/>
      <c r="C10" s="1774"/>
      <c r="D10" s="1774"/>
      <c r="E10" s="1774"/>
      <c r="F10" s="1774"/>
      <c r="G10" s="1774"/>
      <c r="H10" s="1774"/>
      <c r="I10" s="1774"/>
      <c r="J10" s="1774"/>
      <c r="K10" s="1774"/>
      <c r="L10" s="1774"/>
      <c r="M10" s="1774"/>
      <c r="N10" s="1774"/>
      <c r="O10" s="1774"/>
      <c r="P10" s="1774"/>
      <c r="Q10" s="1774"/>
      <c r="R10" s="1774"/>
      <c r="S10" s="1774"/>
      <c r="T10" s="1774"/>
      <c r="U10" s="1774"/>
      <c r="V10" s="1774"/>
      <c r="W10" s="1774"/>
      <c r="X10" s="1774"/>
      <c r="Y10" s="1774"/>
      <c r="Z10" s="1774"/>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3"/>
      <c r="AV10" s="13"/>
      <c r="AW10" s="13"/>
      <c r="AX10" s="13"/>
      <c r="AY10" s="13"/>
      <c r="BD10" s="3" t="s">
        <v>2440</v>
      </c>
      <c r="BE10" s="1183">
        <f>SUMIF($AC$726:$AC$760,"&lt;=45%",$G$726:G$760)-SUM($BE$5:BE9)</f>
        <v>0</v>
      </c>
    </row>
    <row r="11" spans="1:58" ht="12.95" customHeight="1">
      <c r="A11" s="1774" t="s">
        <v>2529</v>
      </c>
      <c r="B11" s="1774"/>
      <c r="C11" s="1774"/>
      <c r="D11" s="1774"/>
      <c r="E11" s="1774"/>
      <c r="F11" s="1774"/>
      <c r="G11" s="1774"/>
      <c r="H11" s="1774"/>
      <c r="I11" s="1774"/>
      <c r="J11" s="1774"/>
      <c r="K11" s="1774"/>
      <c r="L11" s="1774"/>
      <c r="M11" s="1774"/>
      <c r="N11" s="1774"/>
      <c r="O11" s="1774"/>
      <c r="P11" s="1774"/>
      <c r="Q11" s="1774"/>
      <c r="R11" s="1774"/>
      <c r="S11" s="1774"/>
      <c r="T11" s="1774"/>
      <c r="U11" s="1774"/>
      <c r="V11" s="1774"/>
      <c r="W11" s="1774"/>
      <c r="X11" s="1774"/>
      <c r="Y11" s="1774"/>
      <c r="Z11" s="1774"/>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3"/>
      <c r="AV11" s="13"/>
      <c r="AW11" s="13"/>
      <c r="AX11" s="13"/>
      <c r="AY11" s="13"/>
      <c r="BD11" s="1181" t="s">
        <v>2432</v>
      </c>
      <c r="BE11" s="1183">
        <f>SUMIF($AC$726:$AC$760,"&lt;=50%",$G$726:G$760)-SUM($BE$5:BE10)</f>
        <v>22</v>
      </c>
    </row>
    <row r="12" spans="1:58" ht="12.95" customHeight="1">
      <c r="A12" s="1775" t="s">
        <v>2636</v>
      </c>
      <c r="B12" s="1775"/>
      <c r="C12" s="1775"/>
      <c r="D12" s="1775"/>
      <c r="E12" s="1775"/>
      <c r="F12" s="1775"/>
      <c r="G12" s="1775"/>
      <c r="H12" s="1775"/>
      <c r="I12" s="1775"/>
      <c r="J12" s="1775"/>
      <c r="K12" s="1775"/>
      <c r="L12" s="1775"/>
      <c r="M12" s="1775"/>
      <c r="N12" s="1775"/>
      <c r="O12" s="1775"/>
      <c r="P12" s="1775"/>
      <c r="Q12" s="1775"/>
      <c r="R12" s="1775"/>
      <c r="S12" s="1775"/>
      <c r="T12" s="1775"/>
      <c r="U12" s="1775"/>
      <c r="V12" s="1775"/>
      <c r="W12" s="1775"/>
      <c r="X12" s="1775"/>
      <c r="Y12" s="1775"/>
      <c r="Z12" s="1775"/>
      <c r="AA12" s="1775"/>
      <c r="AB12" s="1775"/>
      <c r="AC12" s="1775"/>
      <c r="AD12" s="1775"/>
      <c r="AE12" s="1775"/>
      <c r="AF12" s="1775"/>
      <c r="AG12" s="1775"/>
      <c r="AH12" s="1775"/>
      <c r="AI12" s="1775"/>
      <c r="AJ12" s="1775"/>
      <c r="AK12" s="1775"/>
      <c r="AL12" s="1775"/>
      <c r="AM12" s="1775"/>
      <c r="AN12" s="1775"/>
      <c r="AO12" s="1775"/>
      <c r="AP12" s="1775"/>
      <c r="AQ12" s="1775"/>
      <c r="AR12" s="1775"/>
      <c r="AS12" s="1775"/>
      <c r="AT12" s="1775"/>
      <c r="AU12" s="6"/>
      <c r="AV12" s="6"/>
      <c r="AW12" s="6"/>
      <c r="AX12" s="6"/>
      <c r="AY12" s="6"/>
      <c r="BD12" s="3" t="s">
        <v>2441</v>
      </c>
      <c r="BE12" s="1183">
        <f>SUMIF($AC$726:$AC$760,"&lt;=55%",$G$726:G$760)-SUM($BE$5:BE11)</f>
        <v>0</v>
      </c>
    </row>
    <row r="13" spans="1:58" ht="12.95" customHeight="1">
      <c r="A13" s="1574" t="s">
        <v>2033</v>
      </c>
      <c r="B13" s="1574"/>
      <c r="C13" s="1574"/>
      <c r="D13" s="1574"/>
      <c r="E13" s="1574"/>
      <c r="F13" s="1574"/>
      <c r="G13" s="1574"/>
      <c r="H13" s="1574"/>
      <c r="I13" s="1574"/>
      <c r="J13" s="1574"/>
      <c r="K13" s="1574"/>
      <c r="L13" s="1574"/>
      <c r="M13" s="1574"/>
      <c r="N13" s="1574"/>
      <c r="O13" s="1574"/>
      <c r="P13" s="1574"/>
      <c r="Q13" s="1574"/>
      <c r="R13" s="1574"/>
      <c r="S13" s="1574"/>
      <c r="T13" s="1574"/>
      <c r="U13" s="1574"/>
      <c r="V13" s="1574"/>
      <c r="W13" s="1574"/>
      <c r="X13" s="1574"/>
      <c r="Y13" s="1574"/>
      <c r="Z13" s="1574"/>
      <c r="AA13" s="1574"/>
      <c r="AB13" s="1574"/>
      <c r="AC13" s="1574"/>
      <c r="AD13" s="1574"/>
      <c r="AE13" s="1574"/>
      <c r="AF13" s="1574"/>
      <c r="AG13" s="1574"/>
      <c r="AH13" s="1574"/>
      <c r="AI13" s="1574"/>
      <c r="AJ13" s="1574"/>
      <c r="AK13" s="1574"/>
      <c r="AL13" s="1574"/>
      <c r="AM13" s="1574"/>
      <c r="AN13" s="1574"/>
      <c r="AO13" s="1574"/>
      <c r="AP13" s="1574"/>
      <c r="AQ13" s="1574"/>
      <c r="AR13" s="1574"/>
      <c r="AS13" s="1574"/>
      <c r="AT13" s="1574"/>
      <c r="AU13" s="895"/>
      <c r="AV13" s="895"/>
      <c r="AW13" s="895"/>
      <c r="AX13" s="895"/>
      <c r="AY13" s="895"/>
      <c r="BD13" s="1182" t="s">
        <v>2433</v>
      </c>
      <c r="BE13" s="1183">
        <f>SUMIF($AC$726:$AC$760,"&lt;=60%",$G$726:G$760)-SUM($BE$5:BE12)</f>
        <v>175</v>
      </c>
    </row>
    <row r="14" spans="1:58" ht="12.95" customHeight="1">
      <c r="A14" s="1574"/>
      <c r="B14" s="1574"/>
      <c r="C14" s="1574"/>
      <c r="D14" s="1574"/>
      <c r="E14" s="1574"/>
      <c r="F14" s="1574"/>
      <c r="G14" s="1574"/>
      <c r="H14" s="1574"/>
      <c r="I14" s="1574"/>
      <c r="J14" s="1574"/>
      <c r="K14" s="1574"/>
      <c r="L14" s="1574"/>
      <c r="M14" s="1574"/>
      <c r="N14" s="1574"/>
      <c r="O14" s="1574"/>
      <c r="P14" s="1574"/>
      <c r="Q14" s="1574"/>
      <c r="R14" s="1574"/>
      <c r="S14" s="1574"/>
      <c r="T14" s="1574"/>
      <c r="U14" s="1574"/>
      <c r="V14" s="1574"/>
      <c r="W14" s="1574"/>
      <c r="X14" s="1574"/>
      <c r="Y14" s="1574"/>
      <c r="Z14" s="1574"/>
      <c r="AA14" s="1574"/>
      <c r="AB14" s="1574"/>
      <c r="AC14" s="1574"/>
      <c r="AD14" s="1574"/>
      <c r="AE14" s="1574"/>
      <c r="AF14" s="1574"/>
      <c r="AG14" s="1574"/>
      <c r="AH14" s="1574"/>
      <c r="AI14" s="1574"/>
      <c r="AJ14" s="1574"/>
      <c r="AK14" s="1574"/>
      <c r="AL14" s="1574"/>
      <c r="AM14" s="1574"/>
      <c r="AN14" s="1574"/>
      <c r="AO14" s="1574"/>
      <c r="AP14" s="1574"/>
      <c r="AQ14" s="1574"/>
      <c r="AR14" s="1574"/>
      <c r="AS14" s="1574"/>
      <c r="AT14" s="1574"/>
      <c r="AU14" s="895"/>
      <c r="AV14" s="895"/>
      <c r="AW14" s="895"/>
      <c r="AX14" s="895"/>
      <c r="AY14" s="895"/>
      <c r="BD14" s="1181" t="s">
        <v>2434</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471" t="s">
        <v>2644</v>
      </c>
      <c r="I16" s="1467"/>
      <c r="J16" s="1467"/>
      <c r="K16" s="1467"/>
      <c r="L16" s="1467"/>
      <c r="M16" s="1467"/>
      <c r="N16" s="1467"/>
      <c r="O16" s="1467"/>
      <c r="P16" s="1467"/>
      <c r="Q16" s="1467"/>
      <c r="R16" s="1467"/>
      <c r="S16" s="1467"/>
      <c r="T16" s="1467"/>
      <c r="U16" s="1467"/>
      <c r="V16" s="1467"/>
      <c r="W16" s="1467"/>
      <c r="X16" s="1467"/>
      <c r="Y16" s="1467"/>
      <c r="Z16" s="1467"/>
      <c r="AA16" s="1467"/>
      <c r="AB16" s="1467"/>
      <c r="AC16" s="1467"/>
      <c r="AD16" s="1467"/>
      <c r="AE16" s="1467"/>
      <c r="AF16" s="1467"/>
      <c r="AG16" s="1467"/>
      <c r="AH16" s="1467"/>
      <c r="AI16" s="1467"/>
      <c r="AJ16" s="1467"/>
      <c r="BD16" s="1182" t="s">
        <v>656</v>
      </c>
      <c r="BE16" s="1183" t="str">
        <f>Application!H18</f>
        <v>Seasons by Vintage</v>
      </c>
    </row>
    <row r="17" spans="1:58" ht="12.95" customHeight="1">
      <c r="BD17" s="1181" t="s">
        <v>2447</v>
      </c>
      <c r="BE17" s="1183">
        <f>Application!AA943</f>
        <v>0</v>
      </c>
    </row>
    <row r="18" spans="1:58" ht="12.95" customHeight="1">
      <c r="A18" s="57" t="s">
        <v>101</v>
      </c>
      <c r="C18" s="4"/>
      <c r="D18" s="4"/>
      <c r="E18" s="4"/>
      <c r="F18" s="4"/>
      <c r="G18" s="4"/>
      <c r="H18" s="1448" t="s">
        <v>2645</v>
      </c>
      <c r="I18" s="1277"/>
      <c r="J18" s="1277"/>
      <c r="K18" s="1277"/>
      <c r="L18" s="1277"/>
      <c r="M18" s="1277"/>
      <c r="N18" s="1277"/>
      <c r="O18" s="1277"/>
      <c r="P18" s="1277"/>
      <c r="Q18" s="1277"/>
      <c r="R18" s="1277"/>
      <c r="S18" s="1277"/>
      <c r="T18" s="1277"/>
      <c r="U18" s="1277"/>
      <c r="V18" s="1277"/>
      <c r="W18" s="1277"/>
      <c r="X18" s="1277"/>
      <c r="Y18" s="1277"/>
      <c r="Z18" s="1277"/>
      <c r="AA18" s="1277"/>
      <c r="AB18" s="1277"/>
      <c r="AC18" s="1277"/>
      <c r="AD18" s="1277"/>
      <c r="AE18" s="1277"/>
      <c r="AF18" s="1277"/>
      <c r="AG18" s="1277"/>
      <c r="AH18" s="1277"/>
      <c r="AI18" s="1277"/>
      <c r="AJ18" s="1277"/>
      <c r="BD18" s="1182" t="s">
        <v>2448</v>
      </c>
      <c r="BE18" s="1183">
        <f>AA943</f>
        <v>0</v>
      </c>
    </row>
    <row r="19" spans="1:58" ht="12.95" customHeight="1">
      <c r="BD19" s="1181" t="s">
        <v>2449</v>
      </c>
      <c r="BE19" s="1183">
        <f>Application!M26</f>
        <v>2585630</v>
      </c>
    </row>
    <row r="20" spans="1:58" ht="12.95" customHeight="1">
      <c r="A20" s="1776" t="s">
        <v>873</v>
      </c>
      <c r="B20" s="1776"/>
      <c r="C20" s="1776"/>
      <c r="D20" s="1776"/>
      <c r="E20" s="1776"/>
      <c r="F20" s="1776"/>
      <c r="G20" s="1776"/>
      <c r="H20" s="1776"/>
      <c r="I20" s="1776"/>
      <c r="J20" s="1776"/>
      <c r="K20" s="1776"/>
      <c r="L20" s="1776"/>
      <c r="M20" s="1776"/>
      <c r="N20" s="1776"/>
      <c r="O20" s="1776"/>
      <c r="P20" s="1776"/>
      <c r="Q20" s="1776"/>
      <c r="R20" s="1776"/>
      <c r="S20" s="1776"/>
      <c r="T20" s="1776"/>
      <c r="U20" s="1776"/>
      <c r="V20" s="1776"/>
      <c r="W20" s="1776"/>
      <c r="X20" s="1776"/>
      <c r="Y20" s="1776"/>
      <c r="Z20" s="1776"/>
      <c r="AA20" s="1776"/>
      <c r="AB20" s="1776"/>
      <c r="AC20" s="1776"/>
      <c r="AD20" s="1776"/>
      <c r="AE20" s="1776"/>
      <c r="AF20" s="1776"/>
      <c r="AG20" s="1776"/>
      <c r="AH20" s="1776"/>
      <c r="AI20" s="1776"/>
      <c r="AJ20" s="1776"/>
      <c r="AK20" s="1776"/>
      <c r="AL20" s="1776"/>
      <c r="AM20" s="1776"/>
      <c r="AN20" s="1776"/>
      <c r="AO20" s="1776"/>
      <c r="AP20" s="1776"/>
      <c r="AQ20" s="1776"/>
      <c r="AR20" s="1776"/>
      <c r="AS20" s="1776"/>
      <c r="AT20" s="1776"/>
      <c r="AU20" s="896"/>
      <c r="AV20" s="896"/>
      <c r="AW20" s="896"/>
      <c r="AX20" s="896"/>
      <c r="AY20" s="896"/>
      <c r="BD20" s="1182" t="s">
        <v>2450</v>
      </c>
      <c r="BE20" s="1183">
        <f>Application!M27</f>
        <v>0</v>
      </c>
    </row>
    <row r="21" spans="1:58" ht="12.95" customHeight="1">
      <c r="A21" s="1784" t="s">
        <v>1009</v>
      </c>
      <c r="B21" s="1784"/>
      <c r="C21" s="1784"/>
      <c r="D21" s="1784"/>
      <c r="E21" s="1784"/>
      <c r="F21" s="1784"/>
      <c r="G21" s="1784"/>
      <c r="H21" s="1784"/>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c r="AL21" s="1784"/>
      <c r="AM21" s="897"/>
      <c r="AN21" s="897"/>
      <c r="AO21" s="897"/>
      <c r="AP21" s="897"/>
      <c r="AQ21" s="897"/>
      <c r="AR21" s="897"/>
      <c r="AS21" s="897"/>
      <c r="AT21" s="897"/>
      <c r="AU21" s="897"/>
      <c r="AV21" s="897"/>
      <c r="AW21" s="897"/>
      <c r="AX21" s="897"/>
      <c r="AY21" s="897"/>
      <c r="BD21" s="1181" t="s">
        <v>2451</v>
      </c>
      <c r="BE21" s="1183">
        <f>Application!AM562</f>
        <v>16898484</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72517160</v>
      </c>
      <c r="BF22" s="3" t="s">
        <v>2522</v>
      </c>
    </row>
    <row r="23" spans="1:58" ht="12.95" customHeight="1">
      <c r="A23" s="1777" t="s">
        <v>2100</v>
      </c>
      <c r="B23" s="1777"/>
      <c r="C23" s="1777"/>
      <c r="D23" s="1777"/>
      <c r="E23" s="1777"/>
      <c r="F23" s="1777"/>
      <c r="G23" s="1777"/>
      <c r="H23" s="1777"/>
      <c r="I23" s="1777"/>
      <c r="J23" s="1777"/>
      <c r="K23" s="1777"/>
      <c r="L23" s="1777"/>
      <c r="M23" s="1777"/>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7"/>
      <c r="AL23" s="1777"/>
      <c r="AM23" s="1777"/>
      <c r="AN23" s="1777"/>
      <c r="AO23" s="1777"/>
      <c r="AP23" s="1777"/>
      <c r="AQ23" s="1777"/>
      <c r="AR23" s="1777"/>
      <c r="AS23" s="1777"/>
      <c r="AT23" s="1777"/>
      <c r="AU23" s="18"/>
      <c r="AV23" s="18"/>
      <c r="AW23" s="18"/>
      <c r="AX23" s="18"/>
      <c r="AY23" s="18"/>
      <c r="AZ23" s="18"/>
      <c r="BD23" s="1181" t="s">
        <v>2452</v>
      </c>
      <c r="BE23" s="1183">
        <f>'Sources and Uses Budget'!B4</f>
        <v>3753151</v>
      </c>
    </row>
    <row r="24" spans="1:58" ht="12.95" customHeight="1">
      <c r="A24" s="1777"/>
      <c r="B24" s="1777"/>
      <c r="C24" s="1777"/>
      <c r="D24" s="1777"/>
      <c r="E24" s="1777"/>
      <c r="F24" s="1777"/>
      <c r="G24" s="1777"/>
      <c r="H24" s="1777"/>
      <c r="I24" s="1777"/>
      <c r="J24" s="1777"/>
      <c r="K24" s="1777"/>
      <c r="L24" s="1777"/>
      <c r="M24" s="1777"/>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c r="AK24" s="1777"/>
      <c r="AL24" s="1777"/>
      <c r="AM24" s="1777"/>
      <c r="AN24" s="1777"/>
      <c r="AO24" s="1777"/>
      <c r="AP24" s="1777"/>
      <c r="AQ24" s="1777"/>
      <c r="AR24" s="1777"/>
      <c r="AS24" s="1777"/>
      <c r="AT24" s="1777"/>
      <c r="AU24" s="18"/>
      <c r="AV24" s="18"/>
      <c r="AW24" s="18"/>
      <c r="AX24" s="18"/>
      <c r="AY24" s="18"/>
      <c r="AZ24" s="18"/>
      <c r="BD24" s="1182" t="s">
        <v>2453</v>
      </c>
      <c r="BE24" s="1183">
        <f>Application!AG459</f>
        <v>221954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2.95" customHeight="1">
      <c r="A26" s="4"/>
      <c r="C26" s="4"/>
      <c r="D26" s="4"/>
      <c r="E26" s="4"/>
      <c r="F26" s="4"/>
      <c r="G26" s="4"/>
      <c r="H26" s="4"/>
      <c r="I26" s="4"/>
      <c r="J26" s="4"/>
      <c r="K26" s="4"/>
      <c r="L26" s="4"/>
      <c r="M26" s="1779">
        <f>'Basis &amp; Credits'!AB56</f>
        <v>2585630</v>
      </c>
      <c r="N26" s="1779"/>
      <c r="O26" s="1779"/>
      <c r="P26" s="1779"/>
      <c r="Q26" s="1779"/>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309">
        <f>'Basis &amp; Credits'!AB78</f>
        <v>0</v>
      </c>
      <c r="N27" s="1309"/>
      <c r="O27" s="1309"/>
      <c r="P27" s="1309"/>
      <c r="Q27" s="1309"/>
      <c r="R27" s="3" t="s">
        <v>1267</v>
      </c>
      <c r="S27" s="4"/>
      <c r="T27" s="4"/>
      <c r="U27" s="4"/>
      <c r="V27" s="4"/>
      <c r="W27" s="4"/>
      <c r="X27" s="4"/>
      <c r="Y27" s="4"/>
      <c r="Z27" s="4"/>
      <c r="AF27" s="4"/>
      <c r="AG27" s="4"/>
      <c r="AH27" s="4"/>
      <c r="AI27" s="4"/>
      <c r="AJ27" s="4"/>
      <c r="AK27" s="4"/>
      <c r="BD27" s="1181" t="s">
        <v>2053</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474" t="s">
        <v>2101</v>
      </c>
      <c r="B29" s="1474"/>
      <c r="C29" s="1474"/>
      <c r="D29" s="1474"/>
      <c r="E29" s="1474"/>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c r="AN29" s="1474"/>
      <c r="AO29" s="1474"/>
      <c r="AP29" s="1474"/>
      <c r="AQ29" s="1474"/>
      <c r="AR29" s="1474"/>
      <c r="AS29" s="1474"/>
      <c r="AT29" s="1474"/>
      <c r="BD29" s="1181" t="s">
        <v>2456</v>
      </c>
      <c r="BE29" s="1183" t="b">
        <f>Application!M367="Yes"</f>
        <v>1</v>
      </c>
    </row>
    <row r="30" spans="1:58" ht="12.95" customHeight="1">
      <c r="A30" s="1474"/>
      <c r="B30" s="1474"/>
      <c r="C30" s="1474"/>
      <c r="D30" s="1474"/>
      <c r="E30" s="1474"/>
      <c r="F30" s="1474"/>
      <c r="G30" s="1474"/>
      <c r="H30" s="1474"/>
      <c r="I30" s="1474"/>
      <c r="J30" s="1474"/>
      <c r="K30" s="1474"/>
      <c r="L30" s="1474"/>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Z30" s="20"/>
      <c r="BD30" s="1182" t="s">
        <v>28</v>
      </c>
      <c r="BE30" s="1183" t="b">
        <f>Application!AJ364="Yes"</f>
        <v>0</v>
      </c>
    </row>
    <row r="31" spans="1:58" ht="12.95" customHeight="1">
      <c r="A31" s="1474"/>
      <c r="B31" s="1474"/>
      <c r="C31" s="1474"/>
      <c r="D31" s="1474"/>
      <c r="E31" s="1474"/>
      <c r="F31" s="1474"/>
      <c r="G31" s="1474"/>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474"/>
      <c r="AM31" s="1474"/>
      <c r="AN31" s="1474"/>
      <c r="AO31" s="1474"/>
      <c r="AP31" s="1474"/>
      <c r="AQ31" s="1474"/>
      <c r="AR31" s="1474"/>
      <c r="AS31" s="1474"/>
      <c r="AT31" s="1474"/>
      <c r="AU31" s="20"/>
      <c r="AV31" s="20"/>
      <c r="AW31" s="20"/>
      <c r="AX31" s="20"/>
      <c r="AY31" s="20"/>
      <c r="AZ31" s="20"/>
      <c r="BD31" s="1181" t="s">
        <v>2457</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269" t="s">
        <v>669</v>
      </c>
      <c r="P33" s="1269"/>
      <c r="Q33" s="1778" t="s">
        <v>2102</v>
      </c>
      <c r="R33" s="1778"/>
      <c r="S33" s="1778"/>
      <c r="T33" s="1778"/>
      <c r="U33" s="1778"/>
      <c r="V33" s="1778"/>
      <c r="W33" s="1778"/>
      <c r="X33" s="1778"/>
      <c r="Y33" s="1778"/>
      <c r="Z33" s="1778"/>
      <c r="AA33" s="1778"/>
      <c r="AB33" s="1778"/>
      <c r="AC33" s="1778"/>
      <c r="AD33" s="1778"/>
      <c r="AE33" s="1778"/>
      <c r="AF33" s="1778"/>
      <c r="AG33" s="1778"/>
      <c r="AH33" s="1778"/>
      <c r="AI33" s="1778"/>
      <c r="AJ33" s="1778"/>
      <c r="AK33" s="1778"/>
      <c r="AL33" s="1778"/>
      <c r="AM33" s="1778"/>
      <c r="AN33" s="1778"/>
      <c r="AO33" s="1778"/>
      <c r="AP33" s="1778"/>
      <c r="AQ33" s="1778"/>
      <c r="AR33" s="1778"/>
      <c r="AS33" s="1778"/>
      <c r="AT33" s="1778"/>
      <c r="AU33" s="20"/>
      <c r="AV33" s="20"/>
      <c r="AW33" s="20"/>
      <c r="AX33" s="20"/>
      <c r="AY33" s="20"/>
      <c r="BD33" s="1181" t="s">
        <v>2523</v>
      </c>
      <c r="BE33" s="1183" t="str">
        <f>Application!D220</f>
        <v>Capital Region: El Dorado, Placer, Sacramento, Sutter, Yuba, and Yolo Counties</v>
      </c>
    </row>
    <row r="34" spans="1:57" ht="12.95" hidden="1" customHeight="1">
      <c r="A34" s="1474" t="s">
        <v>2103</v>
      </c>
      <c r="B34" s="1474"/>
      <c r="C34" s="1474"/>
      <c r="D34" s="1474"/>
      <c r="E34" s="1474"/>
      <c r="F34" s="1474"/>
      <c r="G34" s="1474"/>
      <c r="H34" s="1474"/>
      <c r="I34" s="1474"/>
      <c r="J34" s="1474"/>
      <c r="K34" s="1474"/>
      <c r="L34" s="1474"/>
      <c r="M34" s="1474"/>
      <c r="N34" s="1474"/>
      <c r="O34" s="1474"/>
      <c r="P34" s="1474"/>
      <c r="Q34" s="1474"/>
      <c r="R34" s="1474"/>
      <c r="S34" s="1474"/>
      <c r="T34" s="1474"/>
      <c r="U34" s="1474"/>
      <c r="V34" s="1474"/>
      <c r="W34" s="1474"/>
      <c r="X34" s="1474"/>
      <c r="Y34" s="1474"/>
      <c r="Z34" s="1474"/>
      <c r="AA34" s="1474"/>
      <c r="AB34" s="1474"/>
      <c r="AC34" s="1474"/>
      <c r="AD34" s="1474"/>
      <c r="AE34" s="1474"/>
      <c r="AF34" s="1474"/>
      <c r="AG34" s="1474"/>
      <c r="AH34" s="1474"/>
      <c r="AI34" s="1474"/>
      <c r="AJ34" s="1474"/>
      <c r="AK34" s="1474"/>
      <c r="AL34" s="1474"/>
      <c r="AM34" s="1474"/>
      <c r="AN34" s="1474"/>
      <c r="AO34" s="1474"/>
      <c r="AP34" s="1474"/>
      <c r="AQ34" s="1474"/>
      <c r="AR34" s="1474"/>
      <c r="AS34" s="1474"/>
      <c r="AT34" s="1474"/>
      <c r="AU34" s="20"/>
      <c r="AV34" s="20"/>
      <c r="AW34" s="20"/>
      <c r="AX34" s="20"/>
      <c r="AY34" s="20"/>
      <c r="AZ34" s="20"/>
      <c r="BD34" s="1182" t="s">
        <v>2459</v>
      </c>
      <c r="BE34" s="1183" t="str">
        <f>Application!I185</f>
        <v xml:space="preserve">7301 Bilby Raod </v>
      </c>
    </row>
    <row r="35" spans="1:57" ht="12.95" hidden="1" customHeight="1">
      <c r="A35" s="1474"/>
      <c r="B35" s="1474"/>
      <c r="C35" s="1474"/>
      <c r="D35" s="1474"/>
      <c r="E35" s="1474"/>
      <c r="F35" s="1474"/>
      <c r="G35" s="1474"/>
      <c r="H35" s="1474"/>
      <c r="I35" s="1474"/>
      <c r="J35" s="1474"/>
      <c r="K35" s="1474"/>
      <c r="L35" s="1474"/>
      <c r="M35" s="1474"/>
      <c r="N35" s="1474"/>
      <c r="O35" s="1474"/>
      <c r="P35" s="1474"/>
      <c r="Q35" s="1474"/>
      <c r="R35" s="1474"/>
      <c r="S35" s="1474"/>
      <c r="T35" s="1474"/>
      <c r="U35" s="1474"/>
      <c r="V35" s="1474"/>
      <c r="W35" s="1474"/>
      <c r="X35" s="1474"/>
      <c r="Y35" s="1474"/>
      <c r="Z35" s="1474"/>
      <c r="AA35" s="1474"/>
      <c r="AB35" s="1474"/>
      <c r="AC35" s="1474"/>
      <c r="AD35" s="1474"/>
      <c r="AE35" s="1474"/>
      <c r="AF35" s="1474"/>
      <c r="AG35" s="1474"/>
      <c r="AH35" s="1474"/>
      <c r="AI35" s="1474"/>
      <c r="AJ35" s="1474"/>
      <c r="AK35" s="1474"/>
      <c r="AL35" s="1474"/>
      <c r="AM35" s="1474"/>
      <c r="AN35" s="1474"/>
      <c r="AO35" s="1474"/>
      <c r="AP35" s="1474"/>
      <c r="AQ35" s="1474"/>
      <c r="AR35" s="1474"/>
      <c r="AS35" s="1474"/>
      <c r="AT35" s="1474"/>
      <c r="AU35" s="20"/>
      <c r="AV35" s="20"/>
      <c r="AW35" s="20"/>
      <c r="AX35" s="20"/>
      <c r="AY35" s="20"/>
      <c r="AZ35" s="20"/>
      <c r="BD35" s="1181" t="s">
        <v>2460</v>
      </c>
      <c r="BE35" s="1183" t="str">
        <f>IF(Application!E187="","",Application!E187)</f>
        <v/>
      </c>
    </row>
    <row r="36" spans="1:57" ht="12.95" hidden="1" customHeight="1">
      <c r="A36" s="1474"/>
      <c r="B36" s="1474"/>
      <c r="C36" s="1474"/>
      <c r="D36" s="1474"/>
      <c r="E36" s="1474"/>
      <c r="F36" s="1474"/>
      <c r="G36" s="1474"/>
      <c r="H36" s="1474"/>
      <c r="I36" s="1474"/>
      <c r="J36" s="1474"/>
      <c r="K36" s="1474"/>
      <c r="L36" s="1474"/>
      <c r="M36" s="1474"/>
      <c r="N36" s="1474"/>
      <c r="O36" s="1474"/>
      <c r="P36" s="1474"/>
      <c r="Q36" s="1474"/>
      <c r="R36" s="1474"/>
      <c r="S36" s="1474"/>
      <c r="T36" s="1474"/>
      <c r="U36" s="1474"/>
      <c r="V36" s="1474"/>
      <c r="W36" s="1474"/>
      <c r="X36" s="1474"/>
      <c r="Y36" s="1474"/>
      <c r="Z36" s="1474"/>
      <c r="AA36" s="1474"/>
      <c r="AB36" s="1474"/>
      <c r="AC36" s="1474"/>
      <c r="AD36" s="1474"/>
      <c r="AE36" s="1474"/>
      <c r="AF36" s="1474"/>
      <c r="AG36" s="1474"/>
      <c r="AH36" s="1474"/>
      <c r="AI36" s="1474"/>
      <c r="AJ36" s="1474"/>
      <c r="AK36" s="1474"/>
      <c r="AL36" s="1474"/>
      <c r="AM36" s="1474"/>
      <c r="AN36" s="1474"/>
      <c r="AO36" s="1474"/>
      <c r="AP36" s="1474"/>
      <c r="AQ36" s="1474"/>
      <c r="AR36" s="1474"/>
      <c r="AS36" s="1474"/>
      <c r="AT36" s="1474"/>
      <c r="AU36" s="20"/>
      <c r="AV36" s="20"/>
      <c r="AW36" s="20"/>
      <c r="AX36" s="20"/>
      <c r="AY36" s="20"/>
      <c r="AZ36" s="20"/>
      <c r="BD36" s="1182" t="s">
        <v>2461</v>
      </c>
      <c r="BE36" s="1183" t="str">
        <f>Application!I189</f>
        <v xml:space="preserve">Elk Grove </v>
      </c>
    </row>
    <row r="37" spans="1:57" ht="12.95" hidden="1" customHeight="1">
      <c r="A37" s="1474"/>
      <c r="B37" s="1474"/>
      <c r="C37" s="1474"/>
      <c r="D37" s="1474"/>
      <c r="E37" s="1474"/>
      <c r="F37" s="1474"/>
      <c r="G37" s="1474"/>
      <c r="H37" s="1474"/>
      <c r="I37" s="1474"/>
      <c r="J37" s="1474"/>
      <c r="K37" s="1474"/>
      <c r="L37" s="1474"/>
      <c r="M37" s="1474"/>
      <c r="N37" s="1474"/>
      <c r="O37" s="1474"/>
      <c r="P37" s="1474"/>
      <c r="Q37" s="1474"/>
      <c r="R37" s="1474"/>
      <c r="S37" s="1474"/>
      <c r="T37" s="1474"/>
      <c r="U37" s="1474"/>
      <c r="V37" s="1474"/>
      <c r="W37" s="1474"/>
      <c r="X37" s="1474"/>
      <c r="Y37" s="1474"/>
      <c r="Z37" s="1474"/>
      <c r="AA37" s="1474"/>
      <c r="AB37" s="1474"/>
      <c r="AC37" s="1474"/>
      <c r="AD37" s="1474"/>
      <c r="AE37" s="1474"/>
      <c r="AF37" s="1474"/>
      <c r="AG37" s="1474"/>
      <c r="AH37" s="1474"/>
      <c r="AI37" s="1474"/>
      <c r="AJ37" s="1474"/>
      <c r="AK37" s="1474"/>
      <c r="AL37" s="1474"/>
      <c r="AM37" s="1474"/>
      <c r="AN37" s="1474"/>
      <c r="AO37" s="1474"/>
      <c r="AP37" s="1474"/>
      <c r="AQ37" s="1474"/>
      <c r="AR37" s="1474"/>
      <c r="AS37" s="1474"/>
      <c r="AT37" s="1474"/>
      <c r="AZ37" s="20"/>
      <c r="BD37" s="1181" t="s">
        <v>2462</v>
      </c>
      <c r="BE37" s="1183" t="str">
        <f>Application!T189</f>
        <v>Sacramento</v>
      </c>
    </row>
    <row r="38" spans="1:57" ht="12.95" hidden="1" customHeight="1">
      <c r="A38" s="3"/>
      <c r="AZ38" s="20"/>
      <c r="BD38" s="1182" t="s">
        <v>2463</v>
      </c>
      <c r="BE38" s="1183">
        <f>Application!I190</f>
        <v>95757</v>
      </c>
    </row>
    <row r="39" spans="1:57" ht="12.95" customHeight="1">
      <c r="A39" s="1484" t="s">
        <v>2104</v>
      </c>
      <c r="B39" s="1484"/>
      <c r="C39" s="1484"/>
      <c r="D39" s="1484"/>
      <c r="E39" s="1484"/>
      <c r="F39" s="1484"/>
      <c r="G39" s="1484"/>
      <c r="H39" s="1484"/>
      <c r="I39" s="1484"/>
      <c r="J39" s="1484"/>
      <c r="K39" s="1484"/>
      <c r="L39" s="1484"/>
      <c r="M39" s="1484"/>
      <c r="N39" s="1484"/>
      <c r="O39" s="1484"/>
      <c r="P39" s="1484"/>
      <c r="Q39" s="1484"/>
      <c r="R39" s="1484"/>
      <c r="S39" s="1484"/>
      <c r="T39" s="1484"/>
      <c r="U39" s="1484"/>
      <c r="V39" s="1484"/>
      <c r="W39" s="1484"/>
      <c r="X39" s="1484"/>
      <c r="Y39" s="1484"/>
      <c r="Z39" s="1484"/>
      <c r="AA39" s="1484"/>
      <c r="AB39" s="1484"/>
      <c r="AC39" s="1484"/>
      <c r="AD39" s="1484"/>
      <c r="AE39" s="1484"/>
      <c r="AF39" s="1484"/>
      <c r="AG39" s="1484"/>
      <c r="AH39" s="1484"/>
      <c r="AI39" s="1484"/>
      <c r="AJ39" s="1484"/>
      <c r="AK39" s="1484"/>
      <c r="AL39" s="1484"/>
      <c r="AM39" s="1484"/>
      <c r="AN39" s="1484"/>
      <c r="AO39" s="1484"/>
      <c r="AP39" s="1484"/>
      <c r="AQ39" s="1484"/>
      <c r="AR39" s="1484"/>
      <c r="AS39" s="1484"/>
      <c r="AT39" s="1484"/>
      <c r="AZ39" s="20"/>
      <c r="BD39" s="1181" t="s">
        <v>2464</v>
      </c>
      <c r="BE39" s="1183">
        <f>Application!AG446</f>
        <v>222</v>
      </c>
    </row>
    <row r="40" spans="1:57" ht="12.95" customHeight="1">
      <c r="A40" s="1484"/>
      <c r="B40" s="1484"/>
      <c r="C40" s="1484"/>
      <c r="D40" s="1484"/>
      <c r="E40" s="1484"/>
      <c r="F40" s="1484"/>
      <c r="G40" s="1484"/>
      <c r="H40" s="1484"/>
      <c r="I40" s="1484"/>
      <c r="J40" s="1484"/>
      <c r="K40" s="1484"/>
      <c r="L40" s="1484"/>
      <c r="M40" s="1484"/>
      <c r="N40" s="1484"/>
      <c r="O40" s="1484"/>
      <c r="P40" s="1484"/>
      <c r="Q40" s="1484"/>
      <c r="R40" s="1484"/>
      <c r="S40" s="1484"/>
      <c r="T40" s="1484"/>
      <c r="U40" s="1484"/>
      <c r="V40" s="1484"/>
      <c r="W40" s="1484"/>
      <c r="X40" s="1484"/>
      <c r="Y40" s="1484"/>
      <c r="Z40" s="1484"/>
      <c r="AA40" s="1484"/>
      <c r="AB40" s="1484"/>
      <c r="AC40" s="1484"/>
      <c r="AD40" s="1484"/>
      <c r="AE40" s="1484"/>
      <c r="AF40" s="1484"/>
      <c r="AG40" s="1484"/>
      <c r="AH40" s="1484"/>
      <c r="AI40" s="1484"/>
      <c r="AJ40" s="1484"/>
      <c r="AK40" s="1484"/>
      <c r="AL40" s="1484"/>
      <c r="AM40" s="1484"/>
      <c r="AN40" s="1484"/>
      <c r="AO40" s="1484"/>
      <c r="AP40" s="1484"/>
      <c r="AQ40" s="1484"/>
      <c r="AR40" s="1484"/>
      <c r="AS40" s="1484"/>
      <c r="AT40" s="1484"/>
      <c r="AU40" s="20"/>
      <c r="AV40" s="20"/>
      <c r="AW40" s="20"/>
      <c r="AX40" s="20"/>
      <c r="AY40" s="20"/>
      <c r="AZ40" s="20"/>
      <c r="BD40" s="1182" t="s">
        <v>384</v>
      </c>
      <c r="BE40" s="1183">
        <f>Application!AG449</f>
        <v>220</v>
      </c>
    </row>
    <row r="41" spans="1:57" ht="12.95" customHeight="1">
      <c r="A41" s="1484"/>
      <c r="B41" s="1484"/>
      <c r="C41" s="1484"/>
      <c r="D41" s="1484"/>
      <c r="E41" s="1484"/>
      <c r="F41" s="1484"/>
      <c r="G41" s="1484"/>
      <c r="H41" s="1484"/>
      <c r="I41" s="1484"/>
      <c r="J41" s="1484"/>
      <c r="K41" s="1484"/>
      <c r="L41" s="1484"/>
      <c r="M41" s="1484"/>
      <c r="N41" s="1484"/>
      <c r="O41" s="1484"/>
      <c r="P41" s="1484"/>
      <c r="Q41" s="1484"/>
      <c r="R41" s="1484"/>
      <c r="S41" s="1484"/>
      <c r="T41" s="1484"/>
      <c r="U41" s="1484"/>
      <c r="V41" s="1484"/>
      <c r="W41" s="1484"/>
      <c r="X41" s="1484"/>
      <c r="Y41" s="1484"/>
      <c r="Z41" s="1484"/>
      <c r="AA41" s="1484"/>
      <c r="AB41" s="1484"/>
      <c r="AC41" s="1484"/>
      <c r="AD41" s="1484"/>
      <c r="AE41" s="1484"/>
      <c r="AF41" s="1484"/>
      <c r="AG41" s="1484"/>
      <c r="AH41" s="1484"/>
      <c r="AI41" s="1484"/>
      <c r="AJ41" s="1484"/>
      <c r="AK41" s="1484"/>
      <c r="AL41" s="1484"/>
      <c r="AM41" s="1484"/>
      <c r="AN41" s="1484"/>
      <c r="AO41" s="1484"/>
      <c r="AP41" s="1484"/>
      <c r="AQ41" s="1484"/>
      <c r="AR41" s="1484"/>
      <c r="AS41" s="1484"/>
      <c r="AT41" s="1484"/>
      <c r="AU41" s="20"/>
      <c r="AV41" s="20"/>
      <c r="AW41" s="20"/>
      <c r="AX41" s="20"/>
      <c r="AY41" s="20"/>
      <c r="AZ41" s="20"/>
      <c r="BD41" s="1181" t="s">
        <v>287</v>
      </c>
      <c r="BE41" s="1183">
        <f>Application!AG447</f>
        <v>0</v>
      </c>
    </row>
    <row r="42" spans="1:57" ht="12.95" customHeight="1">
      <c r="A42" s="1484"/>
      <c r="B42" s="1484"/>
      <c r="C42" s="1484"/>
      <c r="D42" s="1484"/>
      <c r="E42" s="1484"/>
      <c r="F42" s="1484"/>
      <c r="G42" s="1484"/>
      <c r="H42" s="1484"/>
      <c r="I42" s="1484"/>
      <c r="J42" s="1484"/>
      <c r="K42" s="1484"/>
      <c r="L42" s="1484"/>
      <c r="M42" s="1484"/>
      <c r="N42" s="1484"/>
      <c r="O42" s="1484"/>
      <c r="P42" s="1484"/>
      <c r="Q42" s="1484"/>
      <c r="R42" s="1484"/>
      <c r="S42" s="1484"/>
      <c r="T42" s="1484"/>
      <c r="U42" s="1484"/>
      <c r="V42" s="1484"/>
      <c r="W42" s="1484"/>
      <c r="X42" s="1484"/>
      <c r="Y42" s="1484"/>
      <c r="Z42" s="1484"/>
      <c r="AA42" s="1484"/>
      <c r="AB42" s="1484"/>
      <c r="AC42" s="1484"/>
      <c r="AD42" s="1484"/>
      <c r="AE42" s="1484"/>
      <c r="AF42" s="1484"/>
      <c r="AG42" s="1484"/>
      <c r="AH42" s="1484"/>
      <c r="AI42" s="1484"/>
      <c r="AJ42" s="1484"/>
      <c r="AK42" s="1484"/>
      <c r="AL42" s="1484"/>
      <c r="AM42" s="1484"/>
      <c r="AN42" s="1484"/>
      <c r="AO42" s="1484"/>
      <c r="AP42" s="1484"/>
      <c r="AQ42" s="1484"/>
      <c r="AR42" s="1484"/>
      <c r="AS42" s="1484"/>
      <c r="AT42" s="1484"/>
      <c r="AZ42" s="20"/>
      <c r="BD42" s="1182" t="s">
        <v>2465</v>
      </c>
      <c r="BE42" s="1185">
        <f>Application!AC761</f>
        <v>0.5586363636363636</v>
      </c>
    </row>
    <row r="43" spans="1:57" ht="12.95" customHeight="1">
      <c r="A43" s="1484"/>
      <c r="B43" s="1484"/>
      <c r="C43" s="1484"/>
      <c r="D43" s="1484"/>
      <c r="E43" s="1484"/>
      <c r="F43" s="1484"/>
      <c r="G43" s="1484"/>
      <c r="H43" s="1484"/>
      <c r="I43" s="1484"/>
      <c r="J43" s="1484"/>
      <c r="K43" s="1484"/>
      <c r="L43" s="1484"/>
      <c r="M43" s="1484"/>
      <c r="N43" s="1484"/>
      <c r="O43" s="1484"/>
      <c r="P43" s="1484"/>
      <c r="Q43" s="1484"/>
      <c r="R43" s="1484"/>
      <c r="S43" s="1484"/>
      <c r="T43" s="1484"/>
      <c r="U43" s="1484"/>
      <c r="V43" s="1484"/>
      <c r="W43" s="1484"/>
      <c r="X43" s="1484"/>
      <c r="Y43" s="1484"/>
      <c r="Z43" s="1484"/>
      <c r="AA43" s="1484"/>
      <c r="AB43" s="1484"/>
      <c r="AC43" s="1484"/>
      <c r="AD43" s="1484"/>
      <c r="AE43" s="1484"/>
      <c r="AF43" s="1484"/>
      <c r="AG43" s="1484"/>
      <c r="AH43" s="1484"/>
      <c r="AI43" s="1484"/>
      <c r="AJ43" s="1484"/>
      <c r="AK43" s="1484"/>
      <c r="AL43" s="1484"/>
      <c r="AM43" s="1484"/>
      <c r="AN43" s="1484"/>
      <c r="AO43" s="1484"/>
      <c r="AP43" s="1484"/>
      <c r="AQ43" s="1484"/>
      <c r="AR43" s="1484"/>
      <c r="AS43" s="1484"/>
      <c r="AT43" s="1484"/>
      <c r="AU43" s="20"/>
      <c r="AV43" s="20"/>
      <c r="AW43" s="20"/>
      <c r="AX43" s="20"/>
      <c r="AY43" s="20"/>
      <c r="AZ43" s="20"/>
      <c r="BD43" s="1181" t="s">
        <v>2466</v>
      </c>
      <c r="BE43" s="1185">
        <f>Application!AH761</f>
        <v>0.55861821575250792</v>
      </c>
    </row>
    <row r="44" spans="1:57" ht="12.95" customHeight="1">
      <c r="A44" s="1484"/>
      <c r="B44" s="1484"/>
      <c r="C44" s="1484"/>
      <c r="D44" s="1484"/>
      <c r="E44" s="1484"/>
      <c r="F44" s="1484"/>
      <c r="G44" s="1484"/>
      <c r="H44" s="1484"/>
      <c r="I44" s="1484"/>
      <c r="J44" s="1484"/>
      <c r="K44" s="1484"/>
      <c r="L44" s="1484"/>
      <c r="M44" s="1484"/>
      <c r="N44" s="1484"/>
      <c r="O44" s="1484"/>
      <c r="P44" s="1484"/>
      <c r="Q44" s="1484"/>
      <c r="R44" s="1484"/>
      <c r="S44" s="1484"/>
      <c r="T44" s="1484"/>
      <c r="U44" s="1484"/>
      <c r="V44" s="1484"/>
      <c r="W44" s="1484"/>
      <c r="X44" s="1484"/>
      <c r="Y44" s="1484"/>
      <c r="Z44" s="1484"/>
      <c r="AA44" s="1484"/>
      <c r="AB44" s="1484"/>
      <c r="AC44" s="1484"/>
      <c r="AD44" s="1484"/>
      <c r="AE44" s="1484"/>
      <c r="AF44" s="1484"/>
      <c r="AG44" s="1484"/>
      <c r="AH44" s="1484"/>
      <c r="AI44" s="1484"/>
      <c r="AJ44" s="1484"/>
      <c r="AK44" s="1484"/>
      <c r="AL44" s="1484"/>
      <c r="AM44" s="1484"/>
      <c r="AN44" s="1484"/>
      <c r="AO44" s="1484"/>
      <c r="AP44" s="1484"/>
      <c r="AQ44" s="1484"/>
      <c r="AR44" s="1484"/>
      <c r="AS44" s="1484"/>
      <c r="AT44" s="1484"/>
      <c r="AU44" s="20"/>
      <c r="AV44" s="20"/>
      <c r="AW44" s="20"/>
      <c r="AX44" s="20"/>
      <c r="AY44" s="20"/>
      <c r="AZ44" s="20"/>
      <c r="BD44" s="1182" t="s">
        <v>2467</v>
      </c>
      <c r="BE44" s="1183">
        <f>Application!AC463</f>
        <v>326653.87387387385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2.95" customHeight="1">
      <c r="A46" s="1777" t="s">
        <v>2105</v>
      </c>
      <c r="B46" s="1777"/>
      <c r="C46" s="1777"/>
      <c r="D46" s="1777"/>
      <c r="E46" s="1777"/>
      <c r="F46" s="1777"/>
      <c r="G46" s="1777"/>
      <c r="H46" s="1777"/>
      <c r="I46" s="1777"/>
      <c r="J46" s="1777"/>
      <c r="K46" s="1777"/>
      <c r="L46" s="1777"/>
      <c r="M46" s="1777"/>
      <c r="N46" s="1777"/>
      <c r="O46" s="1777"/>
      <c r="P46" s="1777"/>
      <c r="Q46" s="1777"/>
      <c r="R46" s="1777"/>
      <c r="S46" s="1777"/>
      <c r="T46" s="1777"/>
      <c r="U46" s="1777"/>
      <c r="V46" s="1777"/>
      <c r="W46" s="1777"/>
      <c r="X46" s="1777"/>
      <c r="Y46" s="1777"/>
      <c r="Z46" s="1777"/>
      <c r="AA46" s="1777"/>
      <c r="AB46" s="1777"/>
      <c r="AC46" s="1777"/>
      <c r="AD46" s="1777"/>
      <c r="AE46" s="1777"/>
      <c r="AF46" s="1777"/>
      <c r="AG46" s="1777"/>
      <c r="AH46" s="1777"/>
      <c r="AI46" s="1777"/>
      <c r="AJ46" s="1777"/>
      <c r="AK46" s="1777"/>
      <c r="AL46" s="1777"/>
      <c r="AM46" s="1777"/>
      <c r="AN46" s="1777"/>
      <c r="AO46" s="1777"/>
      <c r="AP46" s="1777"/>
      <c r="AQ46" s="1777"/>
      <c r="AR46" s="1777"/>
      <c r="AS46" s="1777"/>
      <c r="AT46" s="1777"/>
      <c r="AU46" s="20"/>
      <c r="AV46" s="20"/>
      <c r="AW46" s="20"/>
      <c r="AX46" s="20"/>
      <c r="AY46" s="20"/>
      <c r="AZ46" s="20"/>
      <c r="BD46" s="1182" t="s">
        <v>2469</v>
      </c>
      <c r="BE46" s="1183" t="b">
        <f>Application!T195="Yes"</f>
        <v>1</v>
      </c>
    </row>
    <row r="47" spans="1:57" ht="12.95" customHeight="1">
      <c r="A47" s="1777"/>
      <c r="B47" s="1777"/>
      <c r="C47" s="1777"/>
      <c r="D47" s="1777"/>
      <c r="E47" s="1777"/>
      <c r="F47" s="1777"/>
      <c r="G47" s="1777"/>
      <c r="H47" s="1777"/>
      <c r="I47" s="1777"/>
      <c r="J47" s="1777"/>
      <c r="K47" s="1777"/>
      <c r="L47" s="1777"/>
      <c r="M47" s="1777"/>
      <c r="N47" s="1777"/>
      <c r="O47" s="1777"/>
      <c r="P47" s="1777"/>
      <c r="Q47" s="1777"/>
      <c r="R47" s="1777"/>
      <c r="S47" s="1777"/>
      <c r="T47" s="1777"/>
      <c r="U47" s="1777"/>
      <c r="V47" s="1777"/>
      <c r="W47" s="1777"/>
      <c r="X47" s="1777"/>
      <c r="Y47" s="1777"/>
      <c r="Z47" s="1777"/>
      <c r="AA47" s="1777"/>
      <c r="AB47" s="1777"/>
      <c r="AC47" s="1777"/>
      <c r="AD47" s="1777"/>
      <c r="AE47" s="1777"/>
      <c r="AF47" s="1777"/>
      <c r="AG47" s="1777"/>
      <c r="AH47" s="1777"/>
      <c r="AI47" s="1777"/>
      <c r="AJ47" s="1777"/>
      <c r="AK47" s="1777"/>
      <c r="AL47" s="1777"/>
      <c r="AM47" s="1777"/>
      <c r="AN47" s="1777"/>
      <c r="AO47" s="1777"/>
      <c r="AP47" s="1777"/>
      <c r="AQ47" s="1777"/>
      <c r="AR47" s="1777"/>
      <c r="AS47" s="1777"/>
      <c r="AT47" s="1777"/>
      <c r="AU47" s="20"/>
      <c r="AV47" s="20"/>
      <c r="AW47" s="20"/>
      <c r="AX47" s="20"/>
      <c r="AY47" s="20"/>
      <c r="AZ47" s="20"/>
      <c r="BD47" s="1181" t="s">
        <v>2470</v>
      </c>
      <c r="BE47" s="1183" t="b">
        <f>Application!T196="Yes"</f>
        <v>0</v>
      </c>
    </row>
    <row r="48" spans="1:57" ht="12.95" customHeight="1">
      <c r="A48" s="1777"/>
      <c r="B48" s="1777"/>
      <c r="C48" s="1777"/>
      <c r="D48" s="1777"/>
      <c r="E48" s="1777"/>
      <c r="F48" s="1777"/>
      <c r="G48" s="1777"/>
      <c r="H48" s="1777"/>
      <c r="I48" s="1777"/>
      <c r="J48" s="1777"/>
      <c r="K48" s="1777"/>
      <c r="L48" s="1777"/>
      <c r="M48" s="1777"/>
      <c r="N48" s="1777"/>
      <c r="O48" s="1777"/>
      <c r="P48" s="1777"/>
      <c r="Q48" s="1777"/>
      <c r="R48" s="1777"/>
      <c r="S48" s="1777"/>
      <c r="T48" s="1777"/>
      <c r="U48" s="1777"/>
      <c r="V48" s="1777"/>
      <c r="W48" s="1777"/>
      <c r="X48" s="1777"/>
      <c r="Y48" s="1777"/>
      <c r="Z48" s="1777"/>
      <c r="AA48" s="1777"/>
      <c r="AB48" s="1777"/>
      <c r="AC48" s="1777"/>
      <c r="AD48" s="1777"/>
      <c r="AE48" s="1777"/>
      <c r="AF48" s="1777"/>
      <c r="AG48" s="1777"/>
      <c r="AH48" s="1777"/>
      <c r="AI48" s="1777"/>
      <c r="AJ48" s="1777"/>
      <c r="AK48" s="1777"/>
      <c r="AL48" s="1777"/>
      <c r="AM48" s="1777"/>
      <c r="AN48" s="1777"/>
      <c r="AO48" s="1777"/>
      <c r="AP48" s="1777"/>
      <c r="AQ48" s="1777"/>
      <c r="AR48" s="1777"/>
      <c r="AS48" s="1777"/>
      <c r="AT48" s="1777"/>
      <c r="AU48" s="20"/>
      <c r="AV48" s="20"/>
      <c r="AW48" s="20"/>
      <c r="AX48" s="20"/>
      <c r="AY48" s="20"/>
      <c r="AZ48" s="20"/>
      <c r="BD48" s="1182" t="s">
        <v>2471</v>
      </c>
      <c r="BE48" s="1183" t="str">
        <f>Application!M252</f>
        <v xml:space="preserve">Hearthstone/PWC JV, LLC </v>
      </c>
    </row>
    <row r="49" spans="1:57" ht="12.95" customHeight="1">
      <c r="A49" s="1777"/>
      <c r="B49" s="1777"/>
      <c r="C49" s="1777"/>
      <c r="D49" s="1777"/>
      <c r="E49" s="1777"/>
      <c r="F49" s="1777"/>
      <c r="G49" s="1777"/>
      <c r="H49" s="1777"/>
      <c r="I49" s="1777"/>
      <c r="J49" s="1777"/>
      <c r="K49" s="1777"/>
      <c r="L49" s="1777"/>
      <c r="M49" s="1777"/>
      <c r="N49" s="1777"/>
      <c r="O49" s="1777"/>
      <c r="P49" s="1777"/>
      <c r="Q49" s="1777"/>
      <c r="R49" s="1777"/>
      <c r="S49" s="1777"/>
      <c r="T49" s="1777"/>
      <c r="U49" s="1777"/>
      <c r="V49" s="1777"/>
      <c r="W49" s="1777"/>
      <c r="X49" s="1777"/>
      <c r="Y49" s="1777"/>
      <c r="Z49" s="1777"/>
      <c r="AA49" s="1777"/>
      <c r="AB49" s="1777"/>
      <c r="AC49" s="1777"/>
      <c r="AD49" s="1777"/>
      <c r="AE49" s="1777"/>
      <c r="AF49" s="1777"/>
      <c r="AG49" s="1777"/>
      <c r="AH49" s="1777"/>
      <c r="AI49" s="1777"/>
      <c r="AJ49" s="1777"/>
      <c r="AK49" s="1777"/>
      <c r="AL49" s="1777"/>
      <c r="AM49" s="1777"/>
      <c r="AN49" s="1777"/>
      <c r="AO49" s="1777"/>
      <c r="AP49" s="1777"/>
      <c r="AQ49" s="1777"/>
      <c r="AR49" s="1777"/>
      <c r="AS49" s="1777"/>
      <c r="AT49" s="1777"/>
      <c r="AU49" s="20"/>
      <c r="AV49" s="20"/>
      <c r="AW49" s="20"/>
      <c r="AX49" s="20"/>
      <c r="AY49" s="20"/>
      <c r="AZ49" s="20"/>
      <c r="BD49" s="1181" t="s">
        <v>2472</v>
      </c>
      <c r="BE49" s="1183" t="str">
        <f>Application!M255</f>
        <v xml:space="preserve">Socorro Vasquez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 xml:space="preserve">Hearthstone Housing Foundation </v>
      </c>
    </row>
    <row r="51" spans="1:57" ht="12.95" customHeight="1">
      <c r="A51" s="1484" t="s">
        <v>2106</v>
      </c>
      <c r="B51" s="1484"/>
      <c r="C51" s="1484"/>
      <c r="D51" s="1484"/>
      <c r="E51" s="1484"/>
      <c r="F51" s="1484"/>
      <c r="G51" s="1484"/>
      <c r="H51" s="1484"/>
      <c r="I51" s="1484"/>
      <c r="J51" s="1484"/>
      <c r="K51" s="1484"/>
      <c r="L51" s="1484"/>
      <c r="M51" s="1484"/>
      <c r="N51" s="1484"/>
      <c r="O51" s="1484"/>
      <c r="P51" s="1484"/>
      <c r="Q51" s="1484"/>
      <c r="R51" s="1484"/>
      <c r="S51" s="1484"/>
      <c r="T51" s="1484"/>
      <c r="U51" s="1484"/>
      <c r="V51" s="1484"/>
      <c r="W51" s="1484"/>
      <c r="X51" s="1484"/>
      <c r="Y51" s="1484"/>
      <c r="Z51" s="1484"/>
      <c r="AA51" s="1484"/>
      <c r="AB51" s="1484"/>
      <c r="AC51" s="1484"/>
      <c r="AD51" s="1484"/>
      <c r="AE51" s="1484"/>
      <c r="AF51" s="1484"/>
      <c r="AG51" s="1484"/>
      <c r="AH51" s="1484"/>
      <c r="AI51" s="1484"/>
      <c r="AJ51" s="1484"/>
      <c r="AK51" s="1484"/>
      <c r="AL51" s="1484"/>
      <c r="AM51" s="1484"/>
      <c r="AN51" s="1484"/>
      <c r="AO51" s="1484"/>
      <c r="AP51" s="1484"/>
      <c r="AQ51" s="1484"/>
      <c r="AR51" s="1484"/>
      <c r="AS51" s="1484"/>
      <c r="AT51" s="1484"/>
      <c r="AU51" s="20"/>
      <c r="AV51" s="20"/>
      <c r="AW51" s="20"/>
      <c r="AX51" s="20"/>
      <c r="AY51" s="20"/>
      <c r="AZ51" s="20"/>
      <c r="BD51" s="1181" t="s">
        <v>2474</v>
      </c>
      <c r="BE51" s="1183" t="str">
        <f>Application!M260</f>
        <v>To-be-formed LLC</v>
      </c>
    </row>
    <row r="52" spans="1:57" ht="12.95" customHeight="1">
      <c r="A52" s="1484"/>
      <c r="B52" s="1484"/>
      <c r="C52" s="1484"/>
      <c r="D52" s="1484"/>
      <c r="E52" s="1484"/>
      <c r="F52" s="1484"/>
      <c r="G52" s="1484"/>
      <c r="H52" s="1484"/>
      <c r="I52" s="1484"/>
      <c r="J52" s="1484"/>
      <c r="K52" s="1484"/>
      <c r="L52" s="1484"/>
      <c r="M52" s="1484"/>
      <c r="N52" s="1484"/>
      <c r="O52" s="1484"/>
      <c r="P52" s="1484"/>
      <c r="Q52" s="1484"/>
      <c r="R52" s="1484"/>
      <c r="S52" s="1484"/>
      <c r="T52" s="1484"/>
      <c r="U52" s="1484"/>
      <c r="V52" s="1484"/>
      <c r="W52" s="1484"/>
      <c r="X52" s="1484"/>
      <c r="Y52" s="1484"/>
      <c r="Z52" s="1484"/>
      <c r="AA52" s="1484"/>
      <c r="AB52" s="1484"/>
      <c r="AC52" s="1484"/>
      <c r="AD52" s="1484"/>
      <c r="AE52" s="1484"/>
      <c r="AF52" s="1484"/>
      <c r="AG52" s="1484"/>
      <c r="AH52" s="1484"/>
      <c r="AI52" s="1484"/>
      <c r="AJ52" s="1484"/>
      <c r="AK52" s="1484"/>
      <c r="AL52" s="1484"/>
      <c r="AM52" s="1484"/>
      <c r="AN52" s="1484"/>
      <c r="AO52" s="1484"/>
      <c r="AP52" s="1484"/>
      <c r="AQ52" s="1484"/>
      <c r="AR52" s="1484"/>
      <c r="AS52" s="1484"/>
      <c r="AT52" s="1484"/>
      <c r="AU52" s="20"/>
      <c r="AV52" s="20"/>
      <c r="AW52" s="20"/>
      <c r="AX52" s="20"/>
      <c r="AY52" s="20"/>
      <c r="AZ52" s="20"/>
      <c r="BD52" s="1182" t="s">
        <v>2475</v>
      </c>
      <c r="BE52" s="1183" t="str">
        <f>Application!M263</f>
        <v xml:space="preserve">Michael Gancar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 xml:space="preserve">Vintage Housing Holdings, LLC </v>
      </c>
    </row>
    <row r="54" spans="1:57" ht="12.95" customHeight="1">
      <c r="A54" s="1484" t="s">
        <v>2107</v>
      </c>
      <c r="B54" s="1484"/>
      <c r="C54" s="1484"/>
      <c r="D54" s="1484"/>
      <c r="E54" s="1484"/>
      <c r="F54" s="1484"/>
      <c r="G54" s="1484"/>
      <c r="H54" s="1484"/>
      <c r="I54" s="1484"/>
      <c r="J54" s="1484"/>
      <c r="K54" s="1484"/>
      <c r="L54" s="1484"/>
      <c r="M54" s="1484"/>
      <c r="N54" s="1484"/>
      <c r="O54" s="1484"/>
      <c r="P54" s="1484"/>
      <c r="Q54" s="1484"/>
      <c r="R54" s="1484"/>
      <c r="S54" s="1484"/>
      <c r="T54" s="1484"/>
      <c r="U54" s="1484"/>
      <c r="V54" s="1484"/>
      <c r="W54" s="1484"/>
      <c r="X54" s="1484"/>
      <c r="Y54" s="1484"/>
      <c r="Z54" s="1484"/>
      <c r="AA54" s="1484"/>
      <c r="AB54" s="1484"/>
      <c r="AC54" s="1484"/>
      <c r="AD54" s="1484"/>
      <c r="AE54" s="1484"/>
      <c r="AF54" s="1484"/>
      <c r="AG54" s="1484"/>
      <c r="AH54" s="1484"/>
      <c r="AI54" s="1484"/>
      <c r="AJ54" s="1484"/>
      <c r="AK54" s="1484"/>
      <c r="AL54" s="1484"/>
      <c r="AM54" s="1484"/>
      <c r="AN54" s="1484"/>
      <c r="AO54" s="1484"/>
      <c r="AP54" s="1484"/>
      <c r="AQ54" s="1484"/>
      <c r="AR54" s="1484"/>
      <c r="AS54" s="1484"/>
      <c r="AT54" s="1484"/>
      <c r="AU54" s="20"/>
      <c r="AV54" s="20"/>
      <c r="AW54" s="20"/>
      <c r="AX54" s="20"/>
      <c r="AY54" s="20"/>
      <c r="AZ54" s="21"/>
      <c r="BD54" s="1182" t="s">
        <v>2477</v>
      </c>
      <c r="BE54" s="1183">
        <f>Application!M268</f>
        <v>0</v>
      </c>
    </row>
    <row r="55" spans="1:57" ht="12.95" customHeight="1">
      <c r="A55" s="1484"/>
      <c r="B55" s="1484"/>
      <c r="C55" s="1484"/>
      <c r="D55" s="1484"/>
      <c r="E55" s="1484"/>
      <c r="F55" s="1484"/>
      <c r="G55" s="1484"/>
      <c r="H55" s="1484"/>
      <c r="I55" s="1484"/>
      <c r="J55" s="1484"/>
      <c r="K55" s="1484"/>
      <c r="L55" s="1484"/>
      <c r="M55" s="1484"/>
      <c r="N55" s="1484"/>
      <c r="O55" s="1484"/>
      <c r="P55" s="1484"/>
      <c r="Q55" s="1484"/>
      <c r="R55" s="1484"/>
      <c r="S55" s="1484"/>
      <c r="T55" s="1484"/>
      <c r="U55" s="1484"/>
      <c r="V55" s="1484"/>
      <c r="W55" s="1484"/>
      <c r="X55" s="1484"/>
      <c r="Y55" s="1484"/>
      <c r="Z55" s="1484"/>
      <c r="AA55" s="1484"/>
      <c r="AB55" s="1484"/>
      <c r="AC55" s="1484"/>
      <c r="AD55" s="1484"/>
      <c r="AE55" s="1484"/>
      <c r="AF55" s="1484"/>
      <c r="AG55" s="1484"/>
      <c r="AH55" s="1484"/>
      <c r="AI55" s="1484"/>
      <c r="AJ55" s="1484"/>
      <c r="AK55" s="1484"/>
      <c r="AL55" s="1484"/>
      <c r="AM55" s="1484"/>
      <c r="AN55" s="1484"/>
      <c r="AO55" s="1484"/>
      <c r="AP55" s="1484"/>
      <c r="AQ55" s="1484"/>
      <c r="AR55" s="1484"/>
      <c r="AS55" s="1484"/>
      <c r="AT55" s="1484"/>
      <c r="AZ55" s="21"/>
      <c r="BD55" s="1181" t="s">
        <v>2478</v>
      </c>
      <c r="BE55" s="1183">
        <f>Application!M271</f>
        <v>0</v>
      </c>
    </row>
    <row r="56" spans="1:57" ht="12.95" customHeight="1">
      <c r="A56" s="1484"/>
      <c r="B56" s="1484"/>
      <c r="C56" s="1484"/>
      <c r="D56" s="1484"/>
      <c r="E56" s="1484"/>
      <c r="F56" s="1484"/>
      <c r="G56" s="1484"/>
      <c r="H56" s="1484"/>
      <c r="I56" s="1484"/>
      <c r="J56" s="1484"/>
      <c r="K56" s="1484"/>
      <c r="L56" s="1484"/>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c r="AI56" s="1484"/>
      <c r="AJ56" s="1484"/>
      <c r="AK56" s="1484"/>
      <c r="AL56" s="1484"/>
      <c r="AM56" s="1484"/>
      <c r="AN56" s="1484"/>
      <c r="AO56" s="1484"/>
      <c r="AP56" s="1484"/>
      <c r="AQ56" s="1484"/>
      <c r="AR56" s="1484"/>
      <c r="AS56" s="1484"/>
      <c r="AT56" s="1484"/>
      <c r="BD56" s="1182" t="s">
        <v>2479</v>
      </c>
      <c r="BE56" s="1183">
        <f>Application!AA274</f>
        <v>0</v>
      </c>
    </row>
    <row r="57" spans="1:57" ht="12.95" customHeight="1">
      <c r="A57" s="1484"/>
      <c r="B57" s="1484"/>
      <c r="C57" s="1484"/>
      <c r="D57" s="1484"/>
      <c r="E57" s="1484"/>
      <c r="F57" s="1484"/>
      <c r="G57" s="1484"/>
      <c r="H57" s="1484"/>
      <c r="I57" s="1484"/>
      <c r="J57" s="1484"/>
      <c r="K57" s="1484"/>
      <c r="L57" s="1484"/>
      <c r="M57" s="1484"/>
      <c r="N57" s="1484"/>
      <c r="O57" s="1484"/>
      <c r="P57" s="1484"/>
      <c r="Q57" s="1484"/>
      <c r="R57" s="1484"/>
      <c r="S57" s="1484"/>
      <c r="T57" s="1484"/>
      <c r="U57" s="1484"/>
      <c r="V57" s="1484"/>
      <c r="W57" s="1484"/>
      <c r="X57" s="1484"/>
      <c r="Y57" s="1484"/>
      <c r="Z57" s="1484"/>
      <c r="AA57" s="1484"/>
      <c r="AB57" s="1484"/>
      <c r="AC57" s="1484"/>
      <c r="AD57" s="1484"/>
      <c r="AE57" s="1484"/>
      <c r="AF57" s="1484"/>
      <c r="AG57" s="1484"/>
      <c r="AH57" s="1484"/>
      <c r="AI57" s="1484"/>
      <c r="AJ57" s="1484"/>
      <c r="AK57" s="1484"/>
      <c r="AL57" s="1484"/>
      <c r="AM57" s="1484"/>
      <c r="AN57" s="1484"/>
      <c r="AO57" s="1484"/>
      <c r="AP57" s="1484"/>
      <c r="AQ57" s="1484"/>
      <c r="AR57" s="1484"/>
      <c r="AS57" s="1484"/>
      <c r="AT57" s="1484"/>
      <c r="BD57" s="1181" t="s">
        <v>2480</v>
      </c>
      <c r="BE57" s="1183" t="str">
        <f>Application!H296</f>
        <v>Vintage Housing Development, Inc.</v>
      </c>
    </row>
    <row r="58" spans="1:57" ht="12.95" customHeight="1">
      <c r="A58" s="1484"/>
      <c r="B58" s="1484"/>
      <c r="C58" s="1484"/>
      <c r="D58" s="1484"/>
      <c r="E58" s="1484"/>
      <c r="F58" s="1484"/>
      <c r="G58" s="1484"/>
      <c r="H58" s="1484"/>
      <c r="I58" s="1484"/>
      <c r="J58" s="1484"/>
      <c r="K58" s="1484"/>
      <c r="L58" s="1484"/>
      <c r="M58" s="1484"/>
      <c r="N58" s="1484"/>
      <c r="O58" s="1484"/>
      <c r="P58" s="1484"/>
      <c r="Q58" s="1484"/>
      <c r="R58" s="1484"/>
      <c r="S58" s="1484"/>
      <c r="T58" s="1484"/>
      <c r="U58" s="1484"/>
      <c r="V58" s="1484"/>
      <c r="W58" s="1484"/>
      <c r="X58" s="1484"/>
      <c r="Y58" s="1484"/>
      <c r="Z58" s="1484"/>
      <c r="AA58" s="1484"/>
      <c r="AB58" s="1484"/>
      <c r="AC58" s="1484"/>
      <c r="AD58" s="1484"/>
      <c r="AE58" s="1484"/>
      <c r="AF58" s="1484"/>
      <c r="AG58" s="1484"/>
      <c r="AH58" s="1484"/>
      <c r="AI58" s="1484"/>
      <c r="AJ58" s="1484"/>
      <c r="AK58" s="1484"/>
      <c r="AL58" s="1484"/>
      <c r="AM58" s="1484"/>
      <c r="AN58" s="1484"/>
      <c r="AO58" s="1484"/>
      <c r="AP58" s="1484"/>
      <c r="AQ58" s="1484"/>
      <c r="AR58" s="1484"/>
      <c r="AS58" s="1484"/>
      <c r="AT58" s="1484"/>
      <c r="BD58" s="1182" t="s">
        <v>2481</v>
      </c>
      <c r="BE58" s="1183" t="str">
        <f>Application!H297</f>
        <v>369 San Miguel Drive, Suite 135</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Newport Beach, CA 92660</v>
      </c>
    </row>
    <row r="60" spans="1:57" ht="12.95" customHeight="1">
      <c r="A60" s="1484" t="s">
        <v>2108</v>
      </c>
      <c r="B60" s="1484"/>
      <c r="C60" s="1484"/>
      <c r="D60" s="1484"/>
      <c r="E60" s="1484"/>
      <c r="F60" s="1484"/>
      <c r="G60" s="1484"/>
      <c r="H60" s="1484"/>
      <c r="I60" s="1484"/>
      <c r="J60" s="1484"/>
      <c r="K60" s="1484"/>
      <c r="L60" s="1484"/>
      <c r="M60" s="1484"/>
      <c r="N60" s="1484"/>
      <c r="O60" s="1484"/>
      <c r="P60" s="1484"/>
      <c r="Q60" s="1484"/>
      <c r="R60" s="1484"/>
      <c r="S60" s="1484"/>
      <c r="T60" s="1484"/>
      <c r="U60" s="1484"/>
      <c r="V60" s="1484"/>
      <c r="W60" s="1484"/>
      <c r="X60" s="1484"/>
      <c r="Y60" s="1484"/>
      <c r="Z60" s="1484"/>
      <c r="AA60" s="1484"/>
      <c r="AB60" s="1484"/>
      <c r="AC60" s="1484"/>
      <c r="AD60" s="1484"/>
      <c r="AE60" s="1484"/>
      <c r="AF60" s="1484"/>
      <c r="AG60" s="1484"/>
      <c r="AH60" s="1484"/>
      <c r="AI60" s="1484"/>
      <c r="AJ60" s="1484"/>
      <c r="AK60" s="1484"/>
      <c r="AL60" s="1484"/>
      <c r="AM60" s="1484"/>
      <c r="AN60" s="1484"/>
      <c r="AO60" s="1484"/>
      <c r="AP60" s="1484"/>
      <c r="AQ60" s="1484"/>
      <c r="AR60" s="1484"/>
      <c r="AS60" s="1484"/>
      <c r="AT60" s="1484"/>
      <c r="AU60" s="20"/>
      <c r="AV60" s="20"/>
      <c r="AW60" s="20"/>
      <c r="AX60" s="20"/>
      <c r="AY60" s="20"/>
      <c r="AZ60" s="20"/>
      <c r="BD60" s="1182" t="s">
        <v>2483</v>
      </c>
      <c r="BE60" s="1183" t="str">
        <f>Application!H299</f>
        <v>Michael Gancar</v>
      </c>
    </row>
    <row r="61" spans="1:57" ht="12.95" customHeight="1">
      <c r="A61" s="1484"/>
      <c r="B61" s="1484"/>
      <c r="C61" s="1484"/>
      <c r="D61" s="1484"/>
      <c r="E61" s="1484"/>
      <c r="F61" s="1484"/>
      <c r="G61" s="1484"/>
      <c r="H61" s="1484"/>
      <c r="I61" s="1484"/>
      <c r="J61" s="1484"/>
      <c r="K61" s="1484"/>
      <c r="L61" s="1484"/>
      <c r="M61" s="1484"/>
      <c r="N61" s="1484"/>
      <c r="O61" s="1484"/>
      <c r="P61" s="1484"/>
      <c r="Q61" s="1484"/>
      <c r="R61" s="1484"/>
      <c r="S61" s="1484"/>
      <c r="T61" s="1484"/>
      <c r="U61" s="1484"/>
      <c r="V61" s="1484"/>
      <c r="W61" s="1484"/>
      <c r="X61" s="1484"/>
      <c r="Y61" s="1484"/>
      <c r="Z61" s="1484"/>
      <c r="AA61" s="1484"/>
      <c r="AB61" s="1484"/>
      <c r="AC61" s="1484"/>
      <c r="AD61" s="1484"/>
      <c r="AE61" s="1484"/>
      <c r="AF61" s="1484"/>
      <c r="AG61" s="1484"/>
      <c r="AH61" s="1484"/>
      <c r="AI61" s="1484"/>
      <c r="AJ61" s="1484"/>
      <c r="AK61" s="1484"/>
      <c r="AL61" s="1484"/>
      <c r="AM61" s="1484"/>
      <c r="AN61" s="1484"/>
      <c r="AO61" s="1484"/>
      <c r="AP61" s="1484"/>
      <c r="AQ61" s="1484"/>
      <c r="AR61" s="1484"/>
      <c r="AS61" s="1484"/>
      <c r="AT61" s="1484"/>
      <c r="AU61" s="20"/>
      <c r="AV61" s="20"/>
      <c r="AW61" s="20"/>
      <c r="AX61" s="20"/>
      <c r="AY61" s="20"/>
      <c r="AZ61" s="20"/>
      <c r="BD61" s="1181" t="s">
        <v>2484</v>
      </c>
      <c r="BE61" s="1183" t="str">
        <f>Application!H302</f>
        <v>mgancar@vintagehousing.com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0.84</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1</v>
      </c>
    </row>
    <row r="65" spans="1:57" ht="12.95" customHeight="1">
      <c r="A65" s="1273" t="s">
        <v>2110</v>
      </c>
      <c r="B65" s="1273"/>
      <c r="C65" s="1273"/>
      <c r="D65" s="1273"/>
      <c r="E65" s="1273"/>
      <c r="F65" s="1273"/>
      <c r="G65" s="1273"/>
      <c r="H65" s="1273"/>
      <c r="I65" s="1273"/>
      <c r="J65" s="1273"/>
      <c r="K65" s="1273"/>
      <c r="L65" s="1273"/>
      <c r="M65" s="1273"/>
      <c r="N65" s="1273"/>
      <c r="O65" s="1273"/>
      <c r="P65" s="1273"/>
      <c r="Q65" s="1273"/>
      <c r="R65" s="1273"/>
      <c r="S65" s="1273"/>
      <c r="T65" s="1273"/>
      <c r="U65" s="1273"/>
      <c r="V65" s="1273"/>
      <c r="W65" s="1273"/>
      <c r="X65" s="1273"/>
      <c r="Y65" s="1273"/>
      <c r="Z65" s="1273"/>
      <c r="AA65" s="1273"/>
      <c r="AB65" s="1273"/>
      <c r="AC65" s="1273"/>
      <c r="AD65" s="1273"/>
      <c r="AE65" s="1273"/>
      <c r="AF65" s="1273"/>
      <c r="AG65" s="1273"/>
      <c r="AH65" s="1273"/>
      <c r="AI65" s="1273"/>
      <c r="AJ65" s="1273"/>
      <c r="AK65" s="1273"/>
      <c r="AL65" s="1273"/>
      <c r="AM65" s="1273"/>
      <c r="AN65" s="1273"/>
      <c r="AO65" s="1273"/>
      <c r="AP65" s="1273"/>
      <c r="AQ65" s="1273"/>
      <c r="AR65" s="1273"/>
      <c r="AS65" s="1273"/>
      <c r="AT65" s="1273"/>
      <c r="AU65" s="21"/>
      <c r="AV65" s="21"/>
      <c r="AW65" s="21"/>
      <c r="AX65" s="21"/>
      <c r="AY65" s="21"/>
      <c r="AZ65" s="20"/>
      <c r="BD65" s="1181" t="s">
        <v>2520</v>
      </c>
      <c r="BE65" s="1183" t="str">
        <f>Z205</f>
        <v>$500M</v>
      </c>
    </row>
    <row r="66" spans="1:57" ht="12.95" customHeight="1">
      <c r="A66" s="1273"/>
      <c r="B66" s="1273"/>
      <c r="C66" s="1273"/>
      <c r="D66" s="1273"/>
      <c r="E66" s="1273"/>
      <c r="F66" s="1273"/>
      <c r="G66" s="1273"/>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c r="AE66" s="1273"/>
      <c r="AF66" s="1273"/>
      <c r="AG66" s="1273"/>
      <c r="AH66" s="1273"/>
      <c r="AI66" s="1273"/>
      <c r="AJ66" s="1273"/>
      <c r="AK66" s="1273"/>
      <c r="AL66" s="1273"/>
      <c r="AM66" s="1273"/>
      <c r="AN66" s="1273"/>
      <c r="AO66" s="1273"/>
      <c r="AP66" s="1273"/>
      <c r="AQ66" s="1273"/>
      <c r="AR66" s="1273"/>
      <c r="AS66" s="1273"/>
      <c r="AT66" s="1273"/>
      <c r="AU66" s="21"/>
      <c r="AV66" s="21"/>
      <c r="AW66" s="21"/>
      <c r="AX66" s="21"/>
      <c r="AY66" s="21"/>
      <c r="AZ66" s="20"/>
      <c r="BD66" s="1182" t="s">
        <v>2487</v>
      </c>
      <c r="BE66" s="1183" t="b">
        <f>Application!Z205="State Farmworker Credit"</f>
        <v>0</v>
      </c>
    </row>
    <row r="67" spans="1:57" ht="12.95" customHeight="1">
      <c r="A67" s="1273"/>
      <c r="B67" s="1273"/>
      <c r="C67" s="1273"/>
      <c r="D67" s="1273"/>
      <c r="E67" s="1273"/>
      <c r="F67" s="1273"/>
      <c r="G67" s="1273"/>
      <c r="H67" s="1273"/>
      <c r="I67" s="1273"/>
      <c r="J67" s="1273"/>
      <c r="K67" s="1273"/>
      <c r="L67" s="1273"/>
      <c r="M67" s="1273"/>
      <c r="N67" s="1273"/>
      <c r="O67" s="1273"/>
      <c r="P67" s="1273"/>
      <c r="Q67" s="1273"/>
      <c r="R67" s="1273"/>
      <c r="S67" s="1273"/>
      <c r="T67" s="1273"/>
      <c r="U67" s="1273"/>
      <c r="V67" s="1273"/>
      <c r="W67" s="1273"/>
      <c r="X67" s="1273"/>
      <c r="Y67" s="1273"/>
      <c r="Z67" s="1273"/>
      <c r="AA67" s="1273"/>
      <c r="AB67" s="1273"/>
      <c r="AC67" s="1273"/>
      <c r="AD67" s="1273"/>
      <c r="AE67" s="1273"/>
      <c r="AF67" s="1273"/>
      <c r="AG67" s="1273"/>
      <c r="AH67" s="1273"/>
      <c r="AI67" s="1273"/>
      <c r="AJ67" s="1273"/>
      <c r="AK67" s="1273"/>
      <c r="AL67" s="1273"/>
      <c r="AM67" s="1273"/>
      <c r="AN67" s="1273"/>
      <c r="AO67" s="1273"/>
      <c r="AP67" s="1273"/>
      <c r="AQ67" s="1273"/>
      <c r="AR67" s="1273"/>
      <c r="AS67" s="1273"/>
      <c r="AT67" s="1273"/>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273" t="s">
        <v>2111</v>
      </c>
      <c r="B69" s="1273"/>
      <c r="C69" s="1273"/>
      <c r="D69" s="1273"/>
      <c r="E69" s="1273"/>
      <c r="F69" s="1273"/>
      <c r="G69" s="1273"/>
      <c r="H69" s="1273"/>
      <c r="I69" s="1273"/>
      <c r="J69" s="1273"/>
      <c r="K69" s="1273"/>
      <c r="L69" s="1273"/>
      <c r="M69" s="1273"/>
      <c r="N69" s="1273"/>
      <c r="O69" s="1273"/>
      <c r="P69" s="1273"/>
      <c r="Q69" s="1273"/>
      <c r="R69" s="1273"/>
      <c r="S69" s="1273"/>
      <c r="T69" s="1273"/>
      <c r="U69" s="1273"/>
      <c r="V69" s="1273"/>
      <c r="W69" s="1273"/>
      <c r="X69" s="1273"/>
      <c r="Y69" s="1273"/>
      <c r="Z69" s="1273"/>
      <c r="AA69" s="1273"/>
      <c r="AB69" s="1273"/>
      <c r="AC69" s="1273"/>
      <c r="AD69" s="1273"/>
      <c r="AE69" s="1273"/>
      <c r="AF69" s="1273"/>
      <c r="AG69" s="1273"/>
      <c r="AH69" s="1273"/>
      <c r="AI69" s="1273"/>
      <c r="AJ69" s="1273"/>
      <c r="AK69" s="1273"/>
      <c r="AL69" s="1273"/>
      <c r="AM69" s="1273"/>
      <c r="AN69" s="1273"/>
      <c r="AO69" s="1273"/>
      <c r="AP69" s="1273"/>
      <c r="AQ69" s="1273"/>
      <c r="AR69" s="1273"/>
      <c r="AS69" s="1273"/>
      <c r="AT69" s="1273"/>
      <c r="AZ69" s="20"/>
      <c r="BD69" s="1181" t="s">
        <v>2490</v>
      </c>
      <c r="BE69" s="1183" t="str">
        <f>Application!W708</f>
        <v xml:space="preserve">California Municipal Finance Authority </v>
      </c>
    </row>
    <row r="70" spans="1:57" ht="12.95" customHeight="1">
      <c r="A70" s="1273"/>
      <c r="B70" s="1273"/>
      <c r="C70" s="1273"/>
      <c r="D70" s="1273"/>
      <c r="E70" s="1273"/>
      <c r="F70" s="1273"/>
      <c r="G70" s="1273"/>
      <c r="H70" s="1273"/>
      <c r="I70" s="1273"/>
      <c r="J70" s="1273"/>
      <c r="K70" s="1273"/>
      <c r="L70" s="1273"/>
      <c r="M70" s="1273"/>
      <c r="N70" s="1273"/>
      <c r="O70" s="1273"/>
      <c r="P70" s="1273"/>
      <c r="Q70" s="1273"/>
      <c r="R70" s="1273"/>
      <c r="S70" s="1273"/>
      <c r="T70" s="1273"/>
      <c r="U70" s="1273"/>
      <c r="V70" s="1273"/>
      <c r="W70" s="1273"/>
      <c r="X70" s="1273"/>
      <c r="Y70" s="1273"/>
      <c r="Z70" s="1273"/>
      <c r="AA70" s="1273"/>
      <c r="AB70" s="1273"/>
      <c r="AC70" s="1273"/>
      <c r="AD70" s="1273"/>
      <c r="AE70" s="1273"/>
      <c r="AF70" s="1273"/>
      <c r="AG70" s="1273"/>
      <c r="AH70" s="1273"/>
      <c r="AI70" s="1273"/>
      <c r="AJ70" s="1273"/>
      <c r="AK70" s="1273"/>
      <c r="AL70" s="1273"/>
      <c r="AM70" s="1273"/>
      <c r="AN70" s="1273"/>
      <c r="AO70" s="1273"/>
      <c r="AP70" s="1273"/>
      <c r="AQ70" s="1273"/>
      <c r="AR70" s="1273"/>
      <c r="AS70" s="1273"/>
      <c r="AT70" s="1273"/>
      <c r="AU70" s="20"/>
      <c r="AV70" s="20"/>
      <c r="AW70" s="20"/>
      <c r="AX70" s="20"/>
      <c r="AY70" s="20"/>
      <c r="AZ70" s="20"/>
      <c r="BD70" s="1182" t="s">
        <v>2491</v>
      </c>
      <c r="BE70" s="1183">
        <f ca="1">'Points System'!AF843</f>
        <v>92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10</v>
      </c>
    </row>
    <row r="72" spans="1:57" ht="12.95" customHeight="1">
      <c r="A72" s="1474" t="s">
        <v>2112</v>
      </c>
      <c r="B72" s="1474"/>
      <c r="C72" s="1474"/>
      <c r="D72" s="1474"/>
      <c r="E72" s="1474"/>
      <c r="F72" s="1474"/>
      <c r="G72" s="1474"/>
      <c r="H72" s="1474"/>
      <c r="I72" s="1474"/>
      <c r="J72" s="1474"/>
      <c r="K72" s="1474"/>
      <c r="L72" s="1474"/>
      <c r="M72" s="1474"/>
      <c r="N72" s="1474"/>
      <c r="O72" s="1474"/>
      <c r="P72" s="1474"/>
      <c r="Q72" s="1474"/>
      <c r="R72" s="1474"/>
      <c r="S72" s="1474"/>
      <c r="T72" s="1474"/>
      <c r="U72" s="1474"/>
      <c r="V72" s="1474"/>
      <c r="W72" s="1474"/>
      <c r="X72" s="1474"/>
      <c r="Y72" s="1474"/>
      <c r="Z72" s="1474"/>
      <c r="AA72" s="1474"/>
      <c r="AB72" s="1474"/>
      <c r="AC72" s="1474"/>
      <c r="AD72" s="1474"/>
      <c r="AE72" s="1474"/>
      <c r="AF72" s="1474"/>
      <c r="AG72" s="1474"/>
      <c r="AH72" s="1474"/>
      <c r="AI72" s="1474"/>
      <c r="AJ72" s="1474"/>
      <c r="AK72" s="1474"/>
      <c r="AL72" s="1474"/>
      <c r="AM72" s="1474"/>
      <c r="AN72" s="1474"/>
      <c r="AO72" s="1474"/>
      <c r="AP72" s="1474"/>
      <c r="AQ72" s="1474"/>
      <c r="AR72" s="1474"/>
      <c r="AS72" s="1474"/>
      <c r="AT72" s="1474"/>
      <c r="AU72" s="20"/>
      <c r="AV72" s="20"/>
      <c r="AW72" s="20"/>
      <c r="AX72" s="20"/>
      <c r="AY72" s="20"/>
      <c r="AZ72" s="20"/>
      <c r="BD72" s="1182" t="s">
        <v>2492</v>
      </c>
      <c r="BE72" s="1183">
        <f>'Points System'!AF827</f>
        <v>0</v>
      </c>
    </row>
    <row r="73" spans="1:57" ht="12.95" customHeight="1">
      <c r="A73" s="1474"/>
      <c r="B73" s="1474"/>
      <c r="C73" s="1474"/>
      <c r="D73" s="1474"/>
      <c r="E73" s="1474"/>
      <c r="F73" s="1474"/>
      <c r="G73" s="1474"/>
      <c r="H73" s="1474"/>
      <c r="I73" s="1474"/>
      <c r="J73" s="1474"/>
      <c r="K73" s="1474"/>
      <c r="L73" s="1474"/>
      <c r="M73" s="1474"/>
      <c r="N73" s="1474"/>
      <c r="O73" s="1474"/>
      <c r="P73" s="1474"/>
      <c r="Q73" s="1474"/>
      <c r="R73" s="1474"/>
      <c r="S73" s="1474"/>
      <c r="T73" s="1474"/>
      <c r="U73" s="1474"/>
      <c r="V73" s="1474"/>
      <c r="W73" s="1474"/>
      <c r="X73" s="1474"/>
      <c r="Y73" s="1474"/>
      <c r="Z73" s="1474"/>
      <c r="AA73" s="1474"/>
      <c r="AB73" s="1474"/>
      <c r="AC73" s="1474"/>
      <c r="AD73" s="1474"/>
      <c r="AE73" s="1474"/>
      <c r="AF73" s="1474"/>
      <c r="AG73" s="1474"/>
      <c r="AH73" s="1474"/>
      <c r="AI73" s="1474"/>
      <c r="AJ73" s="1474"/>
      <c r="AK73" s="1474"/>
      <c r="AL73" s="1474"/>
      <c r="AM73" s="1474"/>
      <c r="AN73" s="1474"/>
      <c r="AO73" s="1474"/>
      <c r="AP73" s="1474"/>
      <c r="AQ73" s="1474"/>
      <c r="AR73" s="1474"/>
      <c r="AS73" s="1474"/>
      <c r="AT73" s="1474"/>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477" t="s">
        <v>2113</v>
      </c>
      <c r="B75" s="1477"/>
      <c r="C75" s="1477"/>
      <c r="D75" s="1477"/>
      <c r="E75" s="1477"/>
      <c r="F75" s="1477"/>
      <c r="G75" s="1477"/>
      <c r="H75" s="1477"/>
      <c r="I75" s="1477"/>
      <c r="J75" s="1477"/>
      <c r="K75" s="1477"/>
      <c r="L75" s="1477"/>
      <c r="M75" s="1477"/>
      <c r="N75" s="1477"/>
      <c r="O75" s="1477"/>
      <c r="P75" s="1477"/>
      <c r="Q75" s="1477"/>
      <c r="R75" s="1477"/>
      <c r="S75" s="1477"/>
      <c r="T75" s="1477"/>
      <c r="U75" s="1477"/>
      <c r="V75" s="1477"/>
      <c r="W75" s="1477"/>
      <c r="X75" s="1477"/>
      <c r="Y75" s="1477"/>
      <c r="Z75" s="1477"/>
      <c r="AA75" s="1477"/>
      <c r="AB75" s="1477"/>
      <c r="AC75" s="1477"/>
      <c r="AD75" s="1477"/>
      <c r="AE75" s="1477"/>
      <c r="AF75" s="1477"/>
      <c r="AG75" s="1477"/>
      <c r="AH75" s="1477"/>
      <c r="AI75" s="1477"/>
      <c r="AJ75" s="1477"/>
      <c r="AK75" s="1477"/>
      <c r="AL75" s="1477"/>
      <c r="AM75" s="1477"/>
      <c r="AN75" s="1477"/>
      <c r="AO75" s="1477"/>
      <c r="AP75" s="1477"/>
      <c r="AQ75" s="1477"/>
      <c r="AR75" s="1477"/>
      <c r="AS75" s="1477"/>
      <c r="AT75" s="1477"/>
      <c r="AU75" s="20"/>
      <c r="AV75" s="20"/>
      <c r="AW75" s="20"/>
      <c r="AX75" s="20"/>
      <c r="AY75" s="20"/>
      <c r="AZ75" s="20"/>
      <c r="BD75" s="1181" t="s">
        <v>2495</v>
      </c>
      <c r="BE75" s="1183">
        <f>'Points System'!AF830</f>
        <v>10</v>
      </c>
    </row>
    <row r="76" spans="1:57" ht="12.95" customHeight="1">
      <c r="A76" s="1477"/>
      <c r="B76" s="1477"/>
      <c r="C76" s="1477"/>
      <c r="D76" s="1477"/>
      <c r="E76" s="1477"/>
      <c r="F76" s="1477"/>
      <c r="G76" s="1477"/>
      <c r="H76" s="1477"/>
      <c r="I76" s="1477"/>
      <c r="J76" s="1477"/>
      <c r="K76" s="1477"/>
      <c r="L76" s="1477"/>
      <c r="M76" s="1477"/>
      <c r="N76" s="1477"/>
      <c r="O76" s="1477"/>
      <c r="P76" s="1477"/>
      <c r="Q76" s="1477"/>
      <c r="R76" s="1477"/>
      <c r="S76" s="1477"/>
      <c r="T76" s="1477"/>
      <c r="U76" s="1477"/>
      <c r="V76" s="1477"/>
      <c r="W76" s="1477"/>
      <c r="X76" s="1477"/>
      <c r="Y76" s="1477"/>
      <c r="Z76" s="1477"/>
      <c r="AA76" s="1477"/>
      <c r="AB76" s="1477"/>
      <c r="AC76" s="1477"/>
      <c r="AD76" s="1477"/>
      <c r="AE76" s="1477"/>
      <c r="AF76" s="1477"/>
      <c r="AG76" s="1477"/>
      <c r="AH76" s="1477"/>
      <c r="AI76" s="1477"/>
      <c r="AJ76" s="1477"/>
      <c r="AK76" s="1477"/>
      <c r="AL76" s="1477"/>
      <c r="AM76" s="1477"/>
      <c r="AN76" s="1477"/>
      <c r="AO76" s="1477"/>
      <c r="AP76" s="1477"/>
      <c r="AQ76" s="1477"/>
      <c r="AR76" s="1477"/>
      <c r="AS76" s="1477"/>
      <c r="AT76" s="1477"/>
      <c r="AU76" s="20"/>
      <c r="AV76" s="20"/>
      <c r="AW76" s="20"/>
      <c r="AX76" s="20"/>
      <c r="AY76" s="20"/>
      <c r="AZ76" s="17"/>
      <c r="BD76" s="1182" t="s">
        <v>2496</v>
      </c>
      <c r="BE76" s="1183">
        <f>'Points System'!AF833</f>
        <v>0</v>
      </c>
    </row>
    <row r="77" spans="1:57" ht="12.95" customHeight="1">
      <c r="A77" s="1477"/>
      <c r="B77" s="1477"/>
      <c r="C77" s="1477"/>
      <c r="D77" s="1477"/>
      <c r="E77" s="1477"/>
      <c r="F77" s="1477"/>
      <c r="G77" s="1477"/>
      <c r="H77" s="1477"/>
      <c r="I77" s="1477"/>
      <c r="J77" s="1477"/>
      <c r="K77" s="1477"/>
      <c r="L77" s="1477"/>
      <c r="M77" s="1477"/>
      <c r="N77" s="1477"/>
      <c r="O77" s="1477"/>
      <c r="P77" s="1477"/>
      <c r="Q77" s="1477"/>
      <c r="R77" s="1477"/>
      <c r="S77" s="1477"/>
      <c r="T77" s="1477"/>
      <c r="U77" s="1477"/>
      <c r="V77" s="1477"/>
      <c r="W77" s="1477"/>
      <c r="X77" s="1477"/>
      <c r="Y77" s="1477"/>
      <c r="Z77" s="1477"/>
      <c r="AA77" s="1477"/>
      <c r="AB77" s="1477"/>
      <c r="AC77" s="1477"/>
      <c r="AD77" s="1477"/>
      <c r="AE77" s="1477"/>
      <c r="AF77" s="1477"/>
      <c r="AG77" s="1477"/>
      <c r="AH77" s="1477"/>
      <c r="AI77" s="1477"/>
      <c r="AJ77" s="1477"/>
      <c r="AK77" s="1477"/>
      <c r="AL77" s="1477"/>
      <c r="AM77" s="1477"/>
      <c r="AN77" s="1477"/>
      <c r="AO77" s="1477"/>
      <c r="AP77" s="1477"/>
      <c r="AQ77" s="1477"/>
      <c r="AR77" s="1477"/>
      <c r="AS77" s="1477"/>
      <c r="AT77" s="1477"/>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273" t="s">
        <v>2114</v>
      </c>
      <c r="B79" s="1273"/>
      <c r="C79" s="1273"/>
      <c r="D79" s="1273"/>
      <c r="E79" s="1273"/>
      <c r="F79" s="1273"/>
      <c r="G79" s="1273"/>
      <c r="H79" s="1273"/>
      <c r="I79" s="1273"/>
      <c r="J79" s="1273"/>
      <c r="K79" s="1273"/>
      <c r="L79" s="1273"/>
      <c r="M79" s="1273"/>
      <c r="N79" s="1273"/>
      <c r="O79" s="1273"/>
      <c r="P79" s="1273"/>
      <c r="Q79" s="1273"/>
      <c r="R79" s="1273"/>
      <c r="S79" s="1273"/>
      <c r="T79" s="1273"/>
      <c r="U79" s="1273"/>
      <c r="V79" s="1273"/>
      <c r="W79" s="1273"/>
      <c r="X79" s="1273"/>
      <c r="Y79" s="1273"/>
      <c r="Z79" s="1273"/>
      <c r="AA79" s="1273"/>
      <c r="AB79" s="1273"/>
      <c r="AC79" s="1273"/>
      <c r="AD79" s="1273"/>
      <c r="AE79" s="1273"/>
      <c r="AF79" s="1273"/>
      <c r="AG79" s="1273"/>
      <c r="AH79" s="1273"/>
      <c r="AI79" s="1273"/>
      <c r="AJ79" s="1273"/>
      <c r="AK79" s="1273"/>
      <c r="AL79" s="1273"/>
      <c r="AM79" s="1273"/>
      <c r="AN79" s="1273"/>
      <c r="AO79" s="1273"/>
      <c r="AP79" s="1273"/>
      <c r="AQ79" s="1273"/>
      <c r="AR79" s="1273"/>
      <c r="AS79" s="1273"/>
      <c r="AT79" s="1273"/>
      <c r="AU79" s="20"/>
      <c r="AV79" s="20"/>
      <c r="AW79" s="20"/>
      <c r="AX79" s="20"/>
      <c r="AY79" s="20"/>
      <c r="AZ79" s="20"/>
      <c r="BD79" s="1181" t="s">
        <v>2613</v>
      </c>
      <c r="BE79" s="1183">
        <f>'Points System'!AF837</f>
        <v>0</v>
      </c>
    </row>
    <row r="80" spans="1:57" ht="12.95" customHeight="1">
      <c r="A80" s="1273"/>
      <c r="B80" s="1273"/>
      <c r="C80" s="1273"/>
      <c r="D80" s="1273"/>
      <c r="E80" s="1273"/>
      <c r="F80" s="1273"/>
      <c r="G80" s="1273"/>
      <c r="H80" s="1273"/>
      <c r="I80" s="1273"/>
      <c r="J80" s="1273"/>
      <c r="K80" s="1273"/>
      <c r="L80" s="1273"/>
      <c r="M80" s="1273"/>
      <c r="N80" s="1273"/>
      <c r="O80" s="1273"/>
      <c r="P80" s="1273"/>
      <c r="Q80" s="1273"/>
      <c r="R80" s="1273"/>
      <c r="S80" s="1273"/>
      <c r="T80" s="1273"/>
      <c r="U80" s="1273"/>
      <c r="V80" s="1273"/>
      <c r="W80" s="1273"/>
      <c r="X80" s="1273"/>
      <c r="Y80" s="1273"/>
      <c r="Z80" s="1273"/>
      <c r="AA80" s="1273"/>
      <c r="AB80" s="1273"/>
      <c r="AC80" s="1273"/>
      <c r="AD80" s="1273"/>
      <c r="AE80" s="1273"/>
      <c r="AF80" s="1273"/>
      <c r="AG80" s="1273"/>
      <c r="AH80" s="1273"/>
      <c r="AI80" s="1273"/>
      <c r="AJ80" s="1273"/>
      <c r="AK80" s="1273"/>
      <c r="AL80" s="1273"/>
      <c r="AM80" s="1273"/>
      <c r="AN80" s="1273"/>
      <c r="AO80" s="1273"/>
      <c r="AP80" s="1273"/>
      <c r="AQ80" s="1273"/>
      <c r="AR80" s="1273"/>
      <c r="AS80" s="1273"/>
      <c r="AT80" s="1273"/>
      <c r="AU80" s="20"/>
      <c r="AV80" s="20"/>
      <c r="AW80" s="20"/>
      <c r="AX80" s="20"/>
      <c r="AY80" s="20"/>
      <c r="AZ80" s="20"/>
      <c r="BD80" s="1182" t="s">
        <v>2499</v>
      </c>
      <c r="BE80" s="1183">
        <f>'Points System'!AF839</f>
        <v>10</v>
      </c>
    </row>
    <row r="81" spans="1:57" ht="12.95" customHeight="1">
      <c r="A81" s="1273"/>
      <c r="B81" s="1273"/>
      <c r="C81" s="1273"/>
      <c r="D81" s="1273"/>
      <c r="E81" s="1273"/>
      <c r="F81" s="1273"/>
      <c r="G81" s="1273"/>
      <c r="H81" s="1273"/>
      <c r="I81" s="1273"/>
      <c r="J81" s="1273"/>
      <c r="K81" s="1273"/>
      <c r="L81" s="1273"/>
      <c r="M81" s="1273"/>
      <c r="N81" s="1273"/>
      <c r="O81" s="1273"/>
      <c r="P81" s="1273"/>
      <c r="Q81" s="1273"/>
      <c r="R81" s="1273"/>
      <c r="S81" s="1273"/>
      <c r="T81" s="1273"/>
      <c r="U81" s="1273"/>
      <c r="V81" s="1273"/>
      <c r="W81" s="1273"/>
      <c r="X81" s="1273"/>
      <c r="Y81" s="1273"/>
      <c r="Z81" s="1273"/>
      <c r="AA81" s="1273"/>
      <c r="AB81" s="1273"/>
      <c r="AC81" s="1273"/>
      <c r="AD81" s="1273"/>
      <c r="AE81" s="1273"/>
      <c r="AF81" s="1273"/>
      <c r="AG81" s="1273"/>
      <c r="AH81" s="1273"/>
      <c r="AI81" s="1273"/>
      <c r="AJ81" s="1273"/>
      <c r="AK81" s="1273"/>
      <c r="AL81" s="1273"/>
      <c r="AM81" s="1273"/>
      <c r="AN81" s="1273"/>
      <c r="AO81" s="1273"/>
      <c r="AP81" s="1273"/>
      <c r="AQ81" s="1273"/>
      <c r="AR81" s="1273"/>
      <c r="AS81" s="1273"/>
      <c r="AT81" s="1273"/>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484" t="s">
        <v>2115</v>
      </c>
      <c r="B83" s="1484"/>
      <c r="C83" s="1484"/>
      <c r="D83" s="1484"/>
      <c r="E83" s="1484"/>
      <c r="F83" s="1484"/>
      <c r="G83" s="1484"/>
      <c r="H83" s="1484"/>
      <c r="I83" s="1484"/>
      <c r="J83" s="1484"/>
      <c r="K83" s="1484"/>
      <c r="L83" s="1484"/>
      <c r="M83" s="1484"/>
      <c r="N83" s="1484"/>
      <c r="O83" s="1484"/>
      <c r="P83" s="1484"/>
      <c r="Q83" s="1484"/>
      <c r="R83" s="1484"/>
      <c r="S83" s="1484"/>
      <c r="T83" s="1484"/>
      <c r="U83" s="1484"/>
      <c r="V83" s="1484"/>
      <c r="W83" s="1484"/>
      <c r="X83" s="1484"/>
      <c r="Y83" s="1484"/>
      <c r="Z83" s="1484"/>
      <c r="AA83" s="1484"/>
      <c r="AB83" s="1484"/>
      <c r="AC83" s="1484"/>
      <c r="AD83" s="1484"/>
      <c r="AE83" s="1484"/>
      <c r="AF83" s="1484"/>
      <c r="AG83" s="1484"/>
      <c r="AH83" s="1484"/>
      <c r="AI83" s="1484"/>
      <c r="AJ83" s="1484"/>
      <c r="AK83" s="1484"/>
      <c r="AL83" s="1484"/>
      <c r="AM83" s="1484"/>
      <c r="AN83" s="1484"/>
      <c r="AO83" s="1484"/>
      <c r="AP83" s="1484"/>
      <c r="AQ83" s="1484"/>
      <c r="AR83" s="1484"/>
      <c r="AS83" s="1484"/>
      <c r="AT83" s="1484"/>
      <c r="AU83" s="20"/>
      <c r="AV83" s="20"/>
      <c r="AW83" s="20"/>
      <c r="AX83" s="20"/>
      <c r="AY83" s="20"/>
      <c r="AZ83" s="20"/>
      <c r="BD83" s="1181" t="s">
        <v>2502</v>
      </c>
      <c r="BE83" s="1187">
        <f>'Tie Breaker'!H5</f>
        <v>2.1025616700396736</v>
      </c>
    </row>
    <row r="84" spans="1:57" ht="12.95" customHeight="1">
      <c r="A84" s="1484"/>
      <c r="B84" s="1484"/>
      <c r="C84" s="1484"/>
      <c r="D84" s="1484"/>
      <c r="E84" s="1484"/>
      <c r="F84" s="1484"/>
      <c r="G84" s="1484"/>
      <c r="H84" s="1484"/>
      <c r="I84" s="1484"/>
      <c r="J84" s="1484"/>
      <c r="K84" s="1484"/>
      <c r="L84" s="1484"/>
      <c r="M84" s="1484"/>
      <c r="N84" s="1484"/>
      <c r="O84" s="1484"/>
      <c r="P84" s="1484"/>
      <c r="Q84" s="1484"/>
      <c r="R84" s="1484"/>
      <c r="S84" s="1484"/>
      <c r="T84" s="1484"/>
      <c r="U84" s="1484"/>
      <c r="V84" s="1484"/>
      <c r="W84" s="1484"/>
      <c r="X84" s="1484"/>
      <c r="Y84" s="1484"/>
      <c r="Z84" s="1484"/>
      <c r="AA84" s="1484"/>
      <c r="AB84" s="1484"/>
      <c r="AC84" s="1484"/>
      <c r="AD84" s="1484"/>
      <c r="AE84" s="1484"/>
      <c r="AF84" s="1484"/>
      <c r="AG84" s="1484"/>
      <c r="AH84" s="1484"/>
      <c r="AI84" s="1484"/>
      <c r="AJ84" s="1484"/>
      <c r="AK84" s="1484"/>
      <c r="AL84" s="1484"/>
      <c r="AM84" s="1484"/>
      <c r="AN84" s="1484"/>
      <c r="AO84" s="1484"/>
      <c r="AP84" s="1484"/>
      <c r="AQ84" s="1484"/>
      <c r="AR84" s="1484"/>
      <c r="AS84" s="1484"/>
      <c r="AT84" s="1484"/>
      <c r="AU84" s="20"/>
      <c r="AV84" s="20"/>
      <c r="AW84" s="20"/>
      <c r="AX84" s="20"/>
      <c r="AY84" s="20"/>
      <c r="AZ84" s="20"/>
      <c r="BD84" s="1182" t="s">
        <v>2503</v>
      </c>
      <c r="BE84" s="1183" t="str">
        <f>Application!O153</f>
        <v xml:space="preserve">City of Elk Grove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 xml:space="preserve">Sarah Bontrager </v>
      </c>
    </row>
    <row r="86" spans="1:57" ht="12.95" customHeight="1">
      <c r="A86" s="1484" t="s">
        <v>2116</v>
      </c>
      <c r="B86" s="1484"/>
      <c r="C86" s="1484"/>
      <c r="D86" s="1484"/>
      <c r="E86" s="1484"/>
      <c r="F86" s="1484"/>
      <c r="G86" s="1484"/>
      <c r="H86" s="1484"/>
      <c r="I86" s="1484"/>
      <c r="J86" s="1484"/>
      <c r="K86" s="1484"/>
      <c r="L86" s="1484"/>
      <c r="M86" s="1484"/>
      <c r="N86" s="1484"/>
      <c r="O86" s="1484"/>
      <c r="P86" s="1484"/>
      <c r="Q86" s="1484"/>
      <c r="R86" s="1484"/>
      <c r="S86" s="1484"/>
      <c r="T86" s="1484"/>
      <c r="U86" s="1484"/>
      <c r="V86" s="1484"/>
      <c r="W86" s="1484"/>
      <c r="X86" s="1484"/>
      <c r="Y86" s="1484"/>
      <c r="Z86" s="1484"/>
      <c r="AA86" s="1484"/>
      <c r="AB86" s="1484"/>
      <c r="AC86" s="1484"/>
      <c r="AD86" s="1484"/>
      <c r="AE86" s="1484"/>
      <c r="AF86" s="1484"/>
      <c r="AG86" s="1484"/>
      <c r="AH86" s="1484"/>
      <c r="AI86" s="1484"/>
      <c r="AJ86" s="1484"/>
      <c r="AK86" s="1484"/>
      <c r="AL86" s="1484"/>
      <c r="AM86" s="1484"/>
      <c r="AN86" s="1484"/>
      <c r="AO86" s="1484"/>
      <c r="AP86" s="1484"/>
      <c r="AQ86" s="1484"/>
      <c r="AR86" s="1484"/>
      <c r="AS86" s="1484"/>
      <c r="AT86" s="1484"/>
      <c r="AU86" s="20"/>
      <c r="AV86" s="20"/>
      <c r="AW86" s="20"/>
      <c r="AX86" s="20"/>
      <c r="AY86" s="20"/>
      <c r="AZ86" s="20"/>
      <c r="BD86" s="1182" t="s">
        <v>2505</v>
      </c>
      <c r="BE86" s="1183" t="str">
        <f>Application!O155</f>
        <v>City Manager</v>
      </c>
    </row>
    <row r="87" spans="1:57" ht="12.95" customHeight="1">
      <c r="A87" s="1484"/>
      <c r="B87" s="1484"/>
      <c r="C87" s="1484"/>
      <c r="D87" s="1484"/>
      <c r="E87" s="1484"/>
      <c r="F87" s="1484"/>
      <c r="G87" s="1484"/>
      <c r="H87" s="1484"/>
      <c r="I87" s="1484"/>
      <c r="J87" s="1484"/>
      <c r="K87" s="1484"/>
      <c r="L87" s="1484"/>
      <c r="M87" s="1484"/>
      <c r="N87" s="1484"/>
      <c r="O87" s="1484"/>
      <c r="P87" s="1484"/>
      <c r="Q87" s="1484"/>
      <c r="R87" s="1484"/>
      <c r="S87" s="1484"/>
      <c r="T87" s="1484"/>
      <c r="U87" s="1484"/>
      <c r="V87" s="1484"/>
      <c r="W87" s="1484"/>
      <c r="X87" s="1484"/>
      <c r="Y87" s="1484"/>
      <c r="Z87" s="1484"/>
      <c r="AA87" s="1484"/>
      <c r="AB87" s="1484"/>
      <c r="AC87" s="1484"/>
      <c r="AD87" s="1484"/>
      <c r="AE87" s="1484"/>
      <c r="AF87" s="1484"/>
      <c r="AG87" s="1484"/>
      <c r="AH87" s="1484"/>
      <c r="AI87" s="1484"/>
      <c r="AJ87" s="1484"/>
      <c r="AK87" s="1484"/>
      <c r="AL87" s="1484"/>
      <c r="AM87" s="1484"/>
      <c r="AN87" s="1484"/>
      <c r="AO87" s="1484"/>
      <c r="AP87" s="1484"/>
      <c r="AQ87" s="1484"/>
      <c r="AR87" s="1484"/>
      <c r="AS87" s="1484"/>
      <c r="AT87" s="1484"/>
      <c r="AU87" s="20"/>
      <c r="AV87" s="20"/>
      <c r="AW87" s="20"/>
      <c r="AX87" s="20"/>
      <c r="AY87" s="20"/>
      <c r="AZ87" s="20"/>
      <c r="BD87" s="1181" t="s">
        <v>2506</v>
      </c>
      <c r="BE87" s="1183" t="str">
        <f>Application!O156</f>
        <v xml:space="preserve">8401 Laguna Palms Way </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 xml:space="preserve">Elk Grove </v>
      </c>
    </row>
    <row r="89" spans="1:57" ht="12.95" customHeight="1">
      <c r="A89" s="1486" t="s">
        <v>2117</v>
      </c>
      <c r="B89" s="1486"/>
      <c r="C89" s="1486"/>
      <c r="D89" s="1486"/>
      <c r="E89" s="1486"/>
      <c r="F89" s="1486"/>
      <c r="G89" s="1486"/>
      <c r="H89" s="1486"/>
      <c r="I89" s="1486"/>
      <c r="J89" s="1486"/>
      <c r="K89" s="1486"/>
      <c r="L89" s="1486"/>
      <c r="M89" s="1486"/>
      <c r="N89" s="1486"/>
      <c r="O89" s="1486"/>
      <c r="P89" s="1486"/>
      <c r="Q89" s="1486"/>
      <c r="R89" s="1486"/>
      <c r="S89" s="1486"/>
      <c r="T89" s="1486"/>
      <c r="U89" s="1486"/>
      <c r="V89" s="1486"/>
      <c r="W89" s="1486"/>
      <c r="X89" s="1486"/>
      <c r="Y89" s="1486"/>
      <c r="Z89" s="1486"/>
      <c r="AA89" s="1486"/>
      <c r="AB89" s="1486"/>
      <c r="AC89" s="1486"/>
      <c r="AD89" s="1486"/>
      <c r="AE89" s="1486"/>
      <c r="AF89" s="1486"/>
      <c r="AG89" s="1486"/>
      <c r="AH89" s="1486"/>
      <c r="AI89" s="1486"/>
      <c r="AJ89" s="1486"/>
      <c r="AK89" s="1486"/>
      <c r="AL89" s="1486"/>
      <c r="AM89" s="1486"/>
      <c r="AN89" s="1486"/>
      <c r="AO89" s="1486"/>
      <c r="AP89" s="1486"/>
      <c r="AQ89" s="1486"/>
      <c r="AR89" s="1486"/>
      <c r="AS89" s="1486"/>
      <c r="AT89" s="1486"/>
      <c r="AU89" s="17"/>
      <c r="AV89" s="17"/>
      <c r="AW89" s="17"/>
      <c r="AX89" s="17"/>
      <c r="AY89" s="17"/>
      <c r="AZ89" s="20"/>
      <c r="BD89" s="1181" t="s">
        <v>2508</v>
      </c>
      <c r="BE89" s="1183">
        <f>Application!O158</f>
        <v>95758</v>
      </c>
    </row>
    <row r="90" spans="1:57" ht="12.95" customHeight="1">
      <c r="A90" s="1486"/>
      <c r="B90" s="1486"/>
      <c r="C90" s="1486"/>
      <c r="D90" s="1486"/>
      <c r="E90" s="1486"/>
      <c r="F90" s="1486"/>
      <c r="G90" s="1486"/>
      <c r="H90" s="1486"/>
      <c r="I90" s="1486"/>
      <c r="J90" s="1486"/>
      <c r="K90" s="1486"/>
      <c r="L90" s="1486"/>
      <c r="M90" s="1486"/>
      <c r="N90" s="1486"/>
      <c r="O90" s="1486"/>
      <c r="P90" s="1486"/>
      <c r="Q90" s="1486"/>
      <c r="R90" s="1486"/>
      <c r="S90" s="1486"/>
      <c r="T90" s="1486"/>
      <c r="U90" s="1486"/>
      <c r="V90" s="1486"/>
      <c r="W90" s="1486"/>
      <c r="X90" s="1486"/>
      <c r="Y90" s="1486"/>
      <c r="Z90" s="1486"/>
      <c r="AA90" s="1486"/>
      <c r="AB90" s="1486"/>
      <c r="AC90" s="1486"/>
      <c r="AD90" s="1486"/>
      <c r="AE90" s="1486"/>
      <c r="AF90" s="1486"/>
      <c r="AG90" s="1486"/>
      <c r="AH90" s="1486"/>
      <c r="AI90" s="1486"/>
      <c r="AJ90" s="1486"/>
      <c r="AK90" s="1486"/>
      <c r="AL90" s="1486"/>
      <c r="AM90" s="1486"/>
      <c r="AN90" s="1486"/>
      <c r="AO90" s="1486"/>
      <c r="AP90" s="1486"/>
      <c r="AQ90" s="1486"/>
      <c r="AR90" s="1486"/>
      <c r="AS90" s="1486"/>
      <c r="AT90" s="1486"/>
      <c r="AU90" s="17"/>
      <c r="AV90" s="17"/>
      <c r="AW90" s="17"/>
      <c r="AX90" s="17"/>
      <c r="AY90" s="17"/>
      <c r="AZ90" s="20"/>
      <c r="BD90" s="1182" t="s">
        <v>2509</v>
      </c>
      <c r="BE90" s="1183" t="str">
        <f>Application!H16</f>
        <v xml:space="preserve">Vintage Housing Holdings, LLC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 xml:space="preserve">369 San Miguel Drive, Suite 135 </v>
      </c>
    </row>
    <row r="92" spans="1:57" ht="12.95" customHeight="1">
      <c r="A92" s="1477" t="s">
        <v>2118</v>
      </c>
      <c r="B92" s="1477"/>
      <c r="C92" s="1477"/>
      <c r="D92" s="1477"/>
      <c r="E92" s="1477"/>
      <c r="F92" s="1477"/>
      <c r="G92" s="1477"/>
      <c r="H92" s="1477"/>
      <c r="I92" s="1477"/>
      <c r="J92" s="1477"/>
      <c r="K92" s="1477"/>
      <c r="L92" s="1477"/>
      <c r="M92" s="1477"/>
      <c r="N92" s="1477"/>
      <c r="O92" s="1477"/>
      <c r="P92" s="1477"/>
      <c r="Q92" s="1477"/>
      <c r="R92" s="1477"/>
      <c r="S92" s="1477"/>
      <c r="T92" s="1477"/>
      <c r="U92" s="1477"/>
      <c r="V92" s="1477"/>
      <c r="W92" s="1477"/>
      <c r="X92" s="1477"/>
      <c r="Y92" s="1477"/>
      <c r="Z92" s="1477"/>
      <c r="AA92" s="1477"/>
      <c r="AB92" s="1477"/>
      <c r="AC92" s="1477"/>
      <c r="AD92" s="1477"/>
      <c r="AE92" s="1477"/>
      <c r="AF92" s="1477"/>
      <c r="AG92" s="1477"/>
      <c r="AH92" s="1477"/>
      <c r="AI92" s="1477"/>
      <c r="AJ92" s="1477"/>
      <c r="AK92" s="1477"/>
      <c r="AL92" s="1477"/>
      <c r="AM92" s="1477"/>
      <c r="AN92" s="1477"/>
      <c r="AO92" s="1477"/>
      <c r="AP92" s="1477"/>
      <c r="AQ92" s="1477"/>
      <c r="AR92" s="1477"/>
      <c r="AS92" s="1477"/>
      <c r="AT92" s="1477"/>
      <c r="AU92" s="20"/>
      <c r="AV92" s="20"/>
      <c r="AW92" s="20"/>
      <c r="AX92" s="20"/>
      <c r="AY92" s="20"/>
      <c r="AZ92" s="20"/>
      <c r="BD92" s="1182" t="s">
        <v>2511</v>
      </c>
      <c r="BE92" s="1183" t="str">
        <f>Application!M243</f>
        <v>Newport</v>
      </c>
    </row>
    <row r="93" spans="1:57" ht="12.95" customHeight="1">
      <c r="A93" s="1477"/>
      <c r="B93" s="1477"/>
      <c r="C93" s="1477"/>
      <c r="D93" s="1477"/>
      <c r="E93" s="1477"/>
      <c r="F93" s="1477"/>
      <c r="G93" s="1477"/>
      <c r="H93" s="1477"/>
      <c r="I93" s="1477"/>
      <c r="J93" s="1477"/>
      <c r="K93" s="1477"/>
      <c r="L93" s="1477"/>
      <c r="M93" s="1477"/>
      <c r="N93" s="1477"/>
      <c r="O93" s="1477"/>
      <c r="P93" s="1477"/>
      <c r="Q93" s="1477"/>
      <c r="R93" s="1477"/>
      <c r="S93" s="1477"/>
      <c r="T93" s="1477"/>
      <c r="U93" s="1477"/>
      <c r="V93" s="1477"/>
      <c r="W93" s="1477"/>
      <c r="X93" s="1477"/>
      <c r="Y93" s="1477"/>
      <c r="Z93" s="1477"/>
      <c r="AA93" s="1477"/>
      <c r="AB93" s="1477"/>
      <c r="AC93" s="1477"/>
      <c r="AD93" s="1477"/>
      <c r="AE93" s="1477"/>
      <c r="AF93" s="1477"/>
      <c r="AG93" s="1477"/>
      <c r="AH93" s="1477"/>
      <c r="AI93" s="1477"/>
      <c r="AJ93" s="1477"/>
      <c r="AK93" s="1477"/>
      <c r="AL93" s="1477"/>
      <c r="AM93" s="1477"/>
      <c r="AN93" s="1477"/>
      <c r="AO93" s="1477"/>
      <c r="AP93" s="1477"/>
      <c r="AQ93" s="1477"/>
      <c r="AR93" s="1477"/>
      <c r="AS93" s="1477"/>
      <c r="AT93" s="1477"/>
      <c r="AU93" s="20"/>
      <c r="AV93" s="20"/>
      <c r="AW93" s="20"/>
      <c r="AX93" s="20"/>
      <c r="AY93" s="20"/>
      <c r="AZ93" s="20"/>
      <c r="BD93" s="1181" t="s">
        <v>2512</v>
      </c>
      <c r="BE93" s="1183" t="str">
        <f>Application!W243</f>
        <v>CA</v>
      </c>
    </row>
    <row r="94" spans="1:57" ht="12.95" customHeight="1">
      <c r="A94" s="1477"/>
      <c r="B94" s="1477"/>
      <c r="C94" s="1477"/>
      <c r="D94" s="1477"/>
      <c r="E94" s="1477"/>
      <c r="F94" s="1477"/>
      <c r="G94" s="1477"/>
      <c r="H94" s="1477"/>
      <c r="I94" s="1477"/>
      <c r="J94" s="1477"/>
      <c r="K94" s="1477"/>
      <c r="L94" s="1477"/>
      <c r="M94" s="1477"/>
      <c r="N94" s="1477"/>
      <c r="O94" s="1477"/>
      <c r="P94" s="1477"/>
      <c r="Q94" s="1477"/>
      <c r="R94" s="1477"/>
      <c r="S94" s="1477"/>
      <c r="T94" s="1477"/>
      <c r="U94" s="1477"/>
      <c r="V94" s="1477"/>
      <c r="W94" s="1477"/>
      <c r="X94" s="1477"/>
      <c r="Y94" s="1477"/>
      <c r="Z94" s="1477"/>
      <c r="AA94" s="1477"/>
      <c r="AB94" s="1477"/>
      <c r="AC94" s="1477"/>
      <c r="AD94" s="1477"/>
      <c r="AE94" s="1477"/>
      <c r="AF94" s="1477"/>
      <c r="AG94" s="1477"/>
      <c r="AH94" s="1477"/>
      <c r="AI94" s="1477"/>
      <c r="AJ94" s="1477"/>
      <c r="AK94" s="1477"/>
      <c r="AL94" s="1477"/>
      <c r="AM94" s="1477"/>
      <c r="AN94" s="1477"/>
      <c r="AO94" s="1477"/>
      <c r="AP94" s="1477"/>
      <c r="AQ94" s="1477"/>
      <c r="AR94" s="1477"/>
      <c r="AS94" s="1477"/>
      <c r="AT94" s="1477"/>
      <c r="AU94" s="20"/>
      <c r="AV94" s="20"/>
      <c r="AW94" s="20"/>
      <c r="AX94" s="20"/>
      <c r="AY94" s="20"/>
      <c r="AZ94" s="20"/>
      <c r="BD94" s="1182" t="s">
        <v>2513</v>
      </c>
      <c r="BE94" s="1183">
        <f>Application!AC243</f>
        <v>92660</v>
      </c>
    </row>
    <row r="95" spans="1:57" ht="12.95" customHeight="1">
      <c r="A95" s="1477"/>
      <c r="B95" s="1477"/>
      <c r="C95" s="1477"/>
      <c r="D95" s="1477"/>
      <c r="E95" s="1477"/>
      <c r="F95" s="1477"/>
      <c r="G95" s="1477"/>
      <c r="H95" s="1477"/>
      <c r="I95" s="1477"/>
      <c r="J95" s="1477"/>
      <c r="K95" s="1477"/>
      <c r="L95" s="1477"/>
      <c r="M95" s="1477"/>
      <c r="N95" s="1477"/>
      <c r="O95" s="1477"/>
      <c r="P95" s="1477"/>
      <c r="Q95" s="1477"/>
      <c r="R95" s="1477"/>
      <c r="S95" s="1477"/>
      <c r="T95" s="1477"/>
      <c r="U95" s="1477"/>
      <c r="V95" s="1477"/>
      <c r="W95" s="1477"/>
      <c r="X95" s="1477"/>
      <c r="Y95" s="1477"/>
      <c r="Z95" s="1477"/>
      <c r="AA95" s="1477"/>
      <c r="AB95" s="1477"/>
      <c r="AC95" s="1477"/>
      <c r="AD95" s="1477"/>
      <c r="AE95" s="1477"/>
      <c r="AF95" s="1477"/>
      <c r="AG95" s="1477"/>
      <c r="AH95" s="1477"/>
      <c r="AI95" s="1477"/>
      <c r="AJ95" s="1477"/>
      <c r="AK95" s="1477"/>
      <c r="AL95" s="1477"/>
      <c r="AM95" s="1477"/>
      <c r="AN95" s="1477"/>
      <c r="AO95" s="1477"/>
      <c r="AP95" s="1477"/>
      <c r="AQ95" s="1477"/>
      <c r="AR95" s="1477"/>
      <c r="AS95" s="1477"/>
      <c r="AT95" s="1477"/>
      <c r="AU95" s="20"/>
      <c r="AV95" s="20"/>
      <c r="AW95" s="20"/>
      <c r="AX95" s="20"/>
      <c r="AY95" s="20"/>
      <c r="AZ95" s="20"/>
      <c r="BD95" s="1181" t="s">
        <v>2514</v>
      </c>
      <c r="BE95" s="1183" t="str">
        <f>Application!M244</f>
        <v xml:space="preserve">Michael Gancar </v>
      </c>
    </row>
    <row r="96" spans="1:57" ht="12.95" customHeight="1">
      <c r="A96" s="1477"/>
      <c r="B96" s="1477"/>
      <c r="C96" s="1477"/>
      <c r="D96" s="1477"/>
      <c r="E96" s="1477"/>
      <c r="F96" s="1477"/>
      <c r="G96" s="1477"/>
      <c r="H96" s="1477"/>
      <c r="I96" s="1477"/>
      <c r="J96" s="1477"/>
      <c r="K96" s="1477"/>
      <c r="L96" s="1477"/>
      <c r="M96" s="1477"/>
      <c r="N96" s="1477"/>
      <c r="O96" s="1477"/>
      <c r="P96" s="1477"/>
      <c r="Q96" s="1477"/>
      <c r="R96" s="1477"/>
      <c r="S96" s="1477"/>
      <c r="T96" s="1477"/>
      <c r="U96" s="1477"/>
      <c r="V96" s="1477"/>
      <c r="W96" s="1477"/>
      <c r="X96" s="1477"/>
      <c r="Y96" s="1477"/>
      <c r="Z96" s="1477"/>
      <c r="AA96" s="1477"/>
      <c r="AB96" s="1477"/>
      <c r="AC96" s="1477"/>
      <c r="AD96" s="1477"/>
      <c r="AE96" s="1477"/>
      <c r="AF96" s="1477"/>
      <c r="AG96" s="1477"/>
      <c r="AH96" s="1477"/>
      <c r="AI96" s="1477"/>
      <c r="AJ96" s="1477"/>
      <c r="AK96" s="1477"/>
      <c r="AL96" s="1477"/>
      <c r="AM96" s="1477"/>
      <c r="AN96" s="1477"/>
      <c r="AO96" s="1477"/>
      <c r="AP96" s="1477"/>
      <c r="AQ96" s="1477"/>
      <c r="AR96" s="1477"/>
      <c r="AS96" s="1477"/>
      <c r="AT96" s="1477"/>
      <c r="AU96" s="20"/>
      <c r="AV96" s="20"/>
      <c r="AW96" s="20"/>
      <c r="AX96" s="20"/>
      <c r="AY96" s="20"/>
      <c r="AZ96" s="20"/>
      <c r="BD96" s="1182" t="s">
        <v>2515</v>
      </c>
      <c r="BE96" s="1183" t="str">
        <f>Application!M246</f>
        <v>mgancar@vintagehousing.com</v>
      </c>
    </row>
    <row r="97" spans="1:57" ht="12.95" customHeight="1">
      <c r="A97" s="1477"/>
      <c r="B97" s="1477"/>
      <c r="C97" s="1477"/>
      <c r="D97" s="1477"/>
      <c r="E97" s="1477"/>
      <c r="F97" s="1477"/>
      <c r="G97" s="1477"/>
      <c r="H97" s="1477"/>
      <c r="I97" s="1477"/>
      <c r="J97" s="1477"/>
      <c r="K97" s="1477"/>
      <c r="L97" s="1477"/>
      <c r="M97" s="1477"/>
      <c r="N97" s="1477"/>
      <c r="O97" s="1477"/>
      <c r="P97" s="1477"/>
      <c r="Q97" s="1477"/>
      <c r="R97" s="1477"/>
      <c r="S97" s="1477"/>
      <c r="T97" s="1477"/>
      <c r="U97" s="1477"/>
      <c r="V97" s="1477"/>
      <c r="W97" s="1477"/>
      <c r="X97" s="1477"/>
      <c r="Y97" s="1477"/>
      <c r="Z97" s="1477"/>
      <c r="AA97" s="1477"/>
      <c r="AB97" s="1477"/>
      <c r="AC97" s="1477"/>
      <c r="AD97" s="1477"/>
      <c r="AE97" s="1477"/>
      <c r="AF97" s="1477"/>
      <c r="AG97" s="1477"/>
      <c r="AH97" s="1477"/>
      <c r="AI97" s="1477"/>
      <c r="AJ97" s="1477"/>
      <c r="AK97" s="1477"/>
      <c r="AL97" s="1477"/>
      <c r="AM97" s="1477"/>
      <c r="AN97" s="1477"/>
      <c r="AO97" s="1477"/>
      <c r="AP97" s="1477"/>
      <c r="AQ97" s="1477"/>
      <c r="AR97" s="1477"/>
      <c r="AS97" s="1477"/>
      <c r="AT97" s="1477"/>
      <c r="AU97" s="20"/>
      <c r="AV97" s="20"/>
      <c r="AW97" s="20"/>
      <c r="AX97" s="20"/>
      <c r="AY97" s="20"/>
      <c r="AZ97" s="20"/>
      <c r="BD97" s="1181" t="s">
        <v>2516</v>
      </c>
      <c r="BE97" s="1183" t="str">
        <f>Application!M257</f>
        <v>coco@heathstonehousing.org</v>
      </c>
    </row>
    <row r="98" spans="1:57" ht="12.95" customHeight="1">
      <c r="A98" s="1477"/>
      <c r="B98" s="1477"/>
      <c r="C98" s="1477"/>
      <c r="D98" s="1477"/>
      <c r="E98" s="1477"/>
      <c r="F98" s="1477"/>
      <c r="G98" s="1477"/>
      <c r="H98" s="1477"/>
      <c r="I98" s="1477"/>
      <c r="J98" s="1477"/>
      <c r="K98" s="1477"/>
      <c r="L98" s="1477"/>
      <c r="M98" s="1477"/>
      <c r="N98" s="1477"/>
      <c r="O98" s="1477"/>
      <c r="P98" s="1477"/>
      <c r="Q98" s="1477"/>
      <c r="R98" s="1477"/>
      <c r="S98" s="1477"/>
      <c r="T98" s="1477"/>
      <c r="U98" s="1477"/>
      <c r="V98" s="1477"/>
      <c r="W98" s="1477"/>
      <c r="X98" s="1477"/>
      <c r="Y98" s="1477"/>
      <c r="Z98" s="1477"/>
      <c r="AA98" s="1477"/>
      <c r="AB98" s="1477"/>
      <c r="AC98" s="1477"/>
      <c r="AD98" s="1477"/>
      <c r="AE98" s="1477"/>
      <c r="AF98" s="1477"/>
      <c r="AG98" s="1477"/>
      <c r="AH98" s="1477"/>
      <c r="AI98" s="1477"/>
      <c r="AJ98" s="1477"/>
      <c r="AK98" s="1477"/>
      <c r="AL98" s="1477"/>
      <c r="AM98" s="1477"/>
      <c r="AN98" s="1477"/>
      <c r="AO98" s="1477"/>
      <c r="AP98" s="1477"/>
      <c r="AQ98" s="1477"/>
      <c r="AR98" s="1477"/>
      <c r="AS98" s="1477"/>
      <c r="AT98" s="1477"/>
      <c r="AU98" s="20"/>
      <c r="AV98" s="20"/>
      <c r="AW98" s="20"/>
      <c r="AX98" s="20"/>
      <c r="AY98" s="20"/>
      <c r="AZ98" s="20"/>
      <c r="BD98" s="1182" t="s">
        <v>2517</v>
      </c>
      <c r="BE98" s="1183" t="str">
        <f>Application!M265</f>
        <v>mgancar@vintagehousing.com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487" t="s">
        <v>2119</v>
      </c>
      <c r="B100" s="1487"/>
      <c r="C100" s="1487"/>
      <c r="D100" s="1487"/>
      <c r="E100" s="1487"/>
      <c r="F100" s="1487"/>
      <c r="G100" s="1487"/>
      <c r="H100" s="1487"/>
      <c r="I100" s="1487"/>
      <c r="J100" s="1487"/>
      <c r="K100" s="1487"/>
      <c r="L100" s="1487"/>
      <c r="M100" s="1487"/>
      <c r="N100" s="1487"/>
      <c r="O100" s="1487"/>
      <c r="P100" s="1487"/>
      <c r="Q100" s="1487"/>
      <c r="R100" s="1487"/>
      <c r="S100" s="1487"/>
      <c r="T100" s="1487"/>
      <c r="U100" s="1487"/>
      <c r="V100" s="1487"/>
      <c r="W100" s="1487"/>
      <c r="X100" s="1487"/>
      <c r="Y100" s="1487"/>
      <c r="Z100" s="1487"/>
      <c r="AA100" s="1487"/>
      <c r="AB100" s="1487"/>
      <c r="AC100" s="1487"/>
      <c r="AD100" s="1487"/>
      <c r="AE100" s="1487"/>
      <c r="AF100" s="1487"/>
      <c r="AG100" s="1487"/>
      <c r="AH100" s="1487"/>
      <c r="AI100" s="1487"/>
      <c r="AJ100" s="1487"/>
      <c r="AK100" s="1487"/>
      <c r="AL100" s="1487"/>
      <c r="AM100" s="1487"/>
      <c r="AN100" s="1487"/>
      <c r="AO100" s="1487"/>
      <c r="AP100" s="1487"/>
      <c r="AQ100" s="1487"/>
      <c r="AR100" s="1487"/>
      <c r="AS100" s="1487"/>
      <c r="AT100" s="1487"/>
      <c r="AU100" s="20"/>
      <c r="AV100" s="20"/>
      <c r="AW100" s="20"/>
      <c r="AX100" s="20"/>
      <c r="AY100" s="20"/>
      <c r="AZ100" s="20"/>
      <c r="BD100" s="1182" t="s">
        <v>2519</v>
      </c>
      <c r="BE100" s="1183" t="str">
        <f>Application!L288</f>
        <v>sstrain@sabelhauslaw.com</v>
      </c>
    </row>
    <row r="101" spans="1:57" ht="12.95" customHeight="1">
      <c r="A101" s="1487"/>
      <c r="B101" s="1487"/>
      <c r="C101" s="1487"/>
      <c r="D101" s="1487"/>
      <c r="E101" s="1487"/>
      <c r="F101" s="1487"/>
      <c r="G101" s="1487"/>
      <c r="H101" s="1487"/>
      <c r="I101" s="1487"/>
      <c r="J101" s="1487"/>
      <c r="K101" s="1487"/>
      <c r="L101" s="1487"/>
      <c r="M101" s="1487"/>
      <c r="N101" s="1487"/>
      <c r="O101" s="1487"/>
      <c r="P101" s="1487"/>
      <c r="Q101" s="1487"/>
      <c r="R101" s="1487"/>
      <c r="S101" s="1487"/>
      <c r="T101" s="1487"/>
      <c r="U101" s="1487"/>
      <c r="V101" s="1487"/>
      <c r="W101" s="1487"/>
      <c r="X101" s="1487"/>
      <c r="Y101" s="1487"/>
      <c r="Z101" s="1487"/>
      <c r="AA101" s="1487"/>
      <c r="AB101" s="1487"/>
      <c r="AC101" s="1487"/>
      <c r="AD101" s="1487"/>
      <c r="AE101" s="1487"/>
      <c r="AF101" s="1487"/>
      <c r="AG101" s="1487"/>
      <c r="AH101" s="1487"/>
      <c r="AI101" s="1487"/>
      <c r="AJ101" s="1487"/>
      <c r="AK101" s="1487"/>
      <c r="AL101" s="1487"/>
      <c r="AM101" s="1487"/>
      <c r="AN101" s="1487"/>
      <c r="AO101" s="1487"/>
      <c r="AP101" s="1487"/>
      <c r="AQ101" s="1487"/>
      <c r="AR101" s="1487"/>
      <c r="AS101" s="1487"/>
      <c r="AT101" s="1487"/>
      <c r="AU101" s="20"/>
      <c r="AV101" s="20"/>
      <c r="AW101" s="20"/>
      <c r="AX101" s="20"/>
      <c r="AY101" s="20"/>
      <c r="AZ101" s="20"/>
      <c r="BD101" s="3" t="s">
        <v>2524</v>
      </c>
      <c r="BE101">
        <f>'Sources and Uses Budget'!C105</f>
        <v>72517160</v>
      </c>
    </row>
    <row r="102" spans="1:57" ht="12.95" customHeight="1">
      <c r="A102" s="1487"/>
      <c r="B102" s="1487"/>
      <c r="C102" s="1487"/>
      <c r="D102" s="1487"/>
      <c r="E102" s="1487"/>
      <c r="F102" s="1487"/>
      <c r="G102" s="1487"/>
      <c r="H102" s="1487"/>
      <c r="I102" s="1487"/>
      <c r="J102" s="1487"/>
      <c r="K102" s="1487"/>
      <c r="L102" s="1487"/>
      <c r="M102" s="1487"/>
      <c r="N102" s="1487"/>
      <c r="O102" s="1487"/>
      <c r="P102" s="1487"/>
      <c r="Q102" s="1487"/>
      <c r="R102" s="1487"/>
      <c r="S102" s="1487"/>
      <c r="T102" s="1487"/>
      <c r="U102" s="1487"/>
      <c r="V102" s="1487"/>
      <c r="W102" s="1487"/>
      <c r="X102" s="1487"/>
      <c r="Y102" s="1487"/>
      <c r="Z102" s="1487"/>
      <c r="AA102" s="1487"/>
      <c r="AB102" s="1487"/>
      <c r="AC102" s="1487"/>
      <c r="AD102" s="1487"/>
      <c r="AE102" s="1487"/>
      <c r="AF102" s="1487"/>
      <c r="AG102" s="1487"/>
      <c r="AH102" s="1487"/>
      <c r="AI102" s="1487"/>
      <c r="AJ102" s="1487"/>
      <c r="AK102" s="1487"/>
      <c r="AL102" s="1487"/>
      <c r="AM102" s="1487"/>
      <c r="AN102" s="1487"/>
      <c r="AO102" s="1487"/>
      <c r="AP102" s="1487"/>
      <c r="AQ102" s="1487"/>
      <c r="AR102" s="1487"/>
      <c r="AS102" s="1487"/>
      <c r="AT102" s="1487"/>
      <c r="AU102" s="20"/>
      <c r="AV102" s="20"/>
      <c r="AW102" s="20"/>
      <c r="AX102" s="20"/>
      <c r="AY102" s="20"/>
      <c r="AZ102" s="20"/>
      <c r="BD102" s="3" t="s">
        <v>2525</v>
      </c>
      <c r="BE102" t="b">
        <f>T197="Yes"</f>
        <v>0</v>
      </c>
    </row>
    <row r="103" spans="1:57" ht="12.95" customHeight="1">
      <c r="A103" s="1487"/>
      <c r="B103" s="1487"/>
      <c r="C103" s="1487"/>
      <c r="D103" s="1487"/>
      <c r="E103" s="1487"/>
      <c r="F103" s="1487"/>
      <c r="G103" s="1487"/>
      <c r="H103" s="1487"/>
      <c r="I103" s="1487"/>
      <c r="J103" s="1487"/>
      <c r="K103" s="1487"/>
      <c r="L103" s="1487"/>
      <c r="M103" s="1487"/>
      <c r="N103" s="1487"/>
      <c r="O103" s="1487"/>
      <c r="P103" s="1487"/>
      <c r="Q103" s="1487"/>
      <c r="R103" s="1487"/>
      <c r="S103" s="1487"/>
      <c r="T103" s="1487"/>
      <c r="U103" s="1487"/>
      <c r="V103" s="1487"/>
      <c r="W103" s="1487"/>
      <c r="X103" s="1487"/>
      <c r="Y103" s="1487"/>
      <c r="Z103" s="1487"/>
      <c r="AA103" s="1487"/>
      <c r="AB103" s="1487"/>
      <c r="AC103" s="1487"/>
      <c r="AD103" s="1487"/>
      <c r="AE103" s="1487"/>
      <c r="AF103" s="1487"/>
      <c r="AG103" s="1487"/>
      <c r="AH103" s="1487"/>
      <c r="AI103" s="1487"/>
      <c r="AJ103" s="1487"/>
      <c r="AK103" s="1487"/>
      <c r="AL103" s="1487"/>
      <c r="AM103" s="1487"/>
      <c r="AN103" s="1487"/>
      <c r="AO103" s="1487"/>
      <c r="AP103" s="1487"/>
      <c r="AQ103" s="1487"/>
      <c r="AR103" s="1487"/>
      <c r="AS103" s="1487"/>
      <c r="AT103" s="1487"/>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487" t="s">
        <v>2120</v>
      </c>
      <c r="B105" s="1487"/>
      <c r="C105" s="1487"/>
      <c r="D105" s="1487"/>
      <c r="E105" s="1487"/>
      <c r="F105" s="1487"/>
      <c r="G105" s="1487"/>
      <c r="H105" s="1487"/>
      <c r="I105" s="1487"/>
      <c r="J105" s="1487"/>
      <c r="K105" s="1487"/>
      <c r="L105" s="1487"/>
      <c r="M105" s="1487"/>
      <c r="N105" s="1487"/>
      <c r="O105" s="1487"/>
      <c r="P105" s="1487"/>
      <c r="Q105" s="1487"/>
      <c r="R105" s="1487"/>
      <c r="S105" s="1487"/>
      <c r="T105" s="1487"/>
      <c r="U105" s="1487"/>
      <c r="V105" s="1487"/>
      <c r="W105" s="1487"/>
      <c r="X105" s="1487"/>
      <c r="Y105" s="1487"/>
      <c r="Z105" s="1487"/>
      <c r="AA105" s="1487"/>
      <c r="AB105" s="1487"/>
      <c r="AC105" s="1487"/>
      <c r="AD105" s="1487"/>
      <c r="AE105" s="1487"/>
      <c r="AF105" s="1487"/>
      <c r="AG105" s="1487"/>
      <c r="AH105" s="1487"/>
      <c r="AI105" s="1487"/>
      <c r="AJ105" s="1487"/>
      <c r="AK105" s="1487"/>
      <c r="AL105" s="1487"/>
      <c r="AM105" s="1487"/>
      <c r="AN105" s="1487"/>
      <c r="AO105" s="1487"/>
      <c r="AP105" s="1487"/>
      <c r="AQ105" s="1487"/>
      <c r="AR105" s="1487"/>
      <c r="AS105" s="1487"/>
      <c r="AT105" s="1487"/>
      <c r="AU105" s="20"/>
      <c r="AV105" s="20"/>
      <c r="AW105" s="20"/>
      <c r="AX105" s="20"/>
      <c r="AY105" s="20"/>
      <c r="BD105" s="3" t="s">
        <v>2541</v>
      </c>
      <c r="BE105" s="1183" t="b">
        <f>V224="Yes"</f>
        <v>0</v>
      </c>
    </row>
    <row r="106" spans="1:57" ht="12.95" customHeight="1">
      <c r="A106" s="1487"/>
      <c r="B106" s="1487"/>
      <c r="C106" s="1487"/>
      <c r="D106" s="1487"/>
      <c r="E106" s="1487"/>
      <c r="F106" s="1487"/>
      <c r="G106" s="1487"/>
      <c r="H106" s="1487"/>
      <c r="I106" s="1487"/>
      <c r="J106" s="1487"/>
      <c r="K106" s="1487"/>
      <c r="L106" s="1487"/>
      <c r="M106" s="1487"/>
      <c r="N106" s="1487"/>
      <c r="O106" s="1487"/>
      <c r="P106" s="1487"/>
      <c r="Q106" s="1487"/>
      <c r="R106" s="1487"/>
      <c r="S106" s="1487"/>
      <c r="T106" s="1487"/>
      <c r="U106" s="1487"/>
      <c r="V106" s="1487"/>
      <c r="W106" s="1487"/>
      <c r="X106" s="1487"/>
      <c r="Y106" s="1487"/>
      <c r="Z106" s="1487"/>
      <c r="AA106" s="1487"/>
      <c r="AB106" s="1487"/>
      <c r="AC106" s="1487"/>
      <c r="AD106" s="1487"/>
      <c r="AE106" s="1487"/>
      <c r="AF106" s="1487"/>
      <c r="AG106" s="1487"/>
      <c r="AH106" s="1487"/>
      <c r="AI106" s="1487"/>
      <c r="AJ106" s="1487"/>
      <c r="AK106" s="1487"/>
      <c r="AL106" s="1487"/>
      <c r="AM106" s="1487"/>
      <c r="AN106" s="1487"/>
      <c r="AO106" s="1487"/>
      <c r="AP106" s="1487"/>
      <c r="AQ106" s="1487"/>
      <c r="AR106" s="1487"/>
      <c r="AS106" s="1487"/>
      <c r="AT106" s="1487"/>
      <c r="AU106" s="20"/>
      <c r="AV106" s="20"/>
      <c r="AW106" s="20"/>
      <c r="AX106" s="20"/>
      <c r="AY106" s="20"/>
      <c r="BD106" s="3" t="s">
        <v>2542</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468">
        <v>11</v>
      </c>
      <c r="H113" s="1468"/>
      <c r="I113" s="3" t="s">
        <v>182</v>
      </c>
      <c r="L113" s="1468" t="s">
        <v>2784</v>
      </c>
      <c r="M113" s="1468"/>
      <c r="N113" s="1468"/>
      <c r="O113" s="1468"/>
      <c r="P113" s="1493" t="s">
        <v>2605</v>
      </c>
      <c r="Q113" s="1493"/>
      <c r="R113" s="1493"/>
      <c r="S113" s="14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80" t="s">
        <v>2745</v>
      </c>
      <c r="D115" s="1480"/>
      <c r="E115" s="1480"/>
      <c r="F115" s="1480"/>
      <c r="G115" s="1480"/>
      <c r="H115" s="1480"/>
      <c r="I115" s="1480"/>
      <c r="J115" s="1480"/>
      <c r="K115" s="148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468"/>
      <c r="Z117" s="1468"/>
      <c r="AA117" s="1468"/>
      <c r="AB117" s="1468"/>
      <c r="AC117" s="1468"/>
      <c r="AD117" s="1468"/>
      <c r="AE117" s="1468"/>
      <c r="AF117" s="1468"/>
      <c r="AG117" s="1468"/>
      <c r="AH117" s="1468"/>
      <c r="AI117" s="1468"/>
      <c r="AJ117" s="1468"/>
      <c r="AK117" s="1468"/>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68" t="s">
        <v>2732</v>
      </c>
      <c r="Z120" s="1468"/>
      <c r="AA120" s="1468"/>
      <c r="AB120" s="1468"/>
      <c r="AC120" s="1468"/>
      <c r="AD120" s="1468"/>
      <c r="AE120" s="1468"/>
      <c r="AF120" s="1468"/>
      <c r="AG120" s="1468"/>
      <c r="AH120" s="1468"/>
      <c r="AI120" s="1468"/>
      <c r="AJ120" s="1468"/>
      <c r="AK120" s="146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583" t="s">
        <v>469</v>
      </c>
      <c r="CV122" s="1584"/>
      <c r="CW122" s="14"/>
      <c r="CX122" s="14" t="s">
        <v>634</v>
      </c>
      <c r="CY122" s="14"/>
      <c r="CZ122" s="14"/>
      <c r="DA122" s="14"/>
      <c r="DB122" s="14"/>
      <c r="DC122" s="14"/>
      <c r="DD122" s="14"/>
      <c r="DE122" s="14"/>
      <c r="DF122" s="14"/>
      <c r="DG122" s="1580" t="str">
        <f>T189</f>
        <v>Sacramento</v>
      </c>
      <c r="DH122" s="1581"/>
      <c r="DI122" s="1581"/>
      <c r="DJ122" s="1581"/>
      <c r="DK122" s="1581"/>
      <c r="DL122" s="1581"/>
      <c r="DM122" s="1582"/>
    </row>
    <row r="123" spans="1:117" ht="12.95" customHeight="1">
      <c r="A123" s="3"/>
      <c r="B123" s="3"/>
      <c r="T123" s="3"/>
      <c r="U123" s="3"/>
      <c r="V123" s="3"/>
      <c r="W123" s="3"/>
      <c r="X123" s="3"/>
      <c r="Y123" s="1468" t="s">
        <v>2785</v>
      </c>
      <c r="Z123" s="1468"/>
      <c r="AA123" s="1468"/>
      <c r="AB123" s="1468"/>
      <c r="AC123" s="1468"/>
      <c r="AD123" s="1468"/>
      <c r="AE123" s="1468"/>
      <c r="AF123" s="1468"/>
      <c r="AG123" s="1468"/>
      <c r="AH123" s="1468"/>
      <c r="AI123" s="1468"/>
      <c r="AJ123" s="1468"/>
      <c r="AK123" s="146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38"/>
      <c r="G150" s="1438"/>
      <c r="H150" s="1438"/>
      <c r="I150" s="1438"/>
      <c r="J150" s="1438"/>
      <c r="K150" s="1438"/>
      <c r="L150" s="1438"/>
      <c r="M150" s="1438"/>
      <c r="N150" s="1438"/>
      <c r="O150" s="1438"/>
      <c r="P150" s="1438"/>
      <c r="Q150" s="1438"/>
      <c r="R150" s="1438"/>
      <c r="S150" s="1438"/>
      <c r="T150" s="143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448" t="s">
        <v>2646</v>
      </c>
      <c r="P153" s="1277"/>
      <c r="Q153" s="1277"/>
      <c r="R153" s="1277"/>
      <c r="S153" s="1277"/>
      <c r="T153" s="1277"/>
      <c r="U153" s="1277"/>
      <c r="V153" s="1277"/>
      <c r="W153" s="1277"/>
      <c r="X153" s="1277"/>
      <c r="Y153" s="1277"/>
      <c r="Z153" s="1277"/>
      <c r="AA153" s="1277"/>
      <c r="AB153" s="1277"/>
      <c r="AC153" s="1277"/>
      <c r="AD153" s="1277"/>
      <c r="AE153" s="1277"/>
      <c r="AF153" s="1277"/>
      <c r="AG153" s="1277"/>
      <c r="AH153" s="1277"/>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281" t="s">
        <v>2647</v>
      </c>
      <c r="P154" s="1345"/>
      <c r="Q154" s="1345"/>
      <c r="R154" s="1345"/>
      <c r="S154" s="1345"/>
      <c r="T154" s="1345"/>
      <c r="U154" s="1345"/>
      <c r="V154" s="1345"/>
      <c r="W154" s="1345"/>
      <c r="X154" s="1345"/>
      <c r="Y154" s="1345"/>
      <c r="Z154" s="1345"/>
      <c r="AA154" s="1345"/>
      <c r="AB154" s="1345"/>
      <c r="AC154" s="1345"/>
      <c r="AD154" s="1345"/>
      <c r="AE154" s="1345"/>
      <c r="AF154" s="1345"/>
      <c r="AG154" s="1345"/>
      <c r="AH154" s="1345"/>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473" t="s">
        <v>440</v>
      </c>
      <c r="P155" s="1473"/>
      <c r="Q155" s="1473"/>
      <c r="R155" s="1473"/>
      <c r="S155" s="1473"/>
      <c r="T155" s="1473"/>
      <c r="U155" s="1473"/>
      <c r="V155" s="1473"/>
      <c r="W155" s="1473"/>
      <c r="X155" s="1473"/>
      <c r="Y155" s="1473"/>
      <c r="Z155" s="1473"/>
      <c r="AA155" s="1473"/>
      <c r="AB155" s="1473"/>
      <c r="AC155" s="1473"/>
      <c r="AD155" s="1473"/>
      <c r="AE155" s="1473"/>
      <c r="AF155" s="1473"/>
      <c r="AG155" s="1473"/>
      <c r="AH155" s="1473"/>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48" t="s">
        <v>2648</v>
      </c>
      <c r="P156" s="1272"/>
      <c r="Q156" s="1272"/>
      <c r="R156" s="1272"/>
      <c r="S156" s="1272"/>
      <c r="T156" s="1272"/>
      <c r="U156" s="1272"/>
      <c r="V156" s="1272"/>
      <c r="W156" s="1272"/>
      <c r="X156" s="1272"/>
      <c r="Y156" s="1272"/>
      <c r="Z156" s="1272"/>
      <c r="AA156" s="1272"/>
      <c r="AB156" s="1272"/>
      <c r="AC156" s="1272"/>
      <c r="AD156" s="1272"/>
      <c r="AE156" s="1272"/>
      <c r="AF156" s="1272"/>
      <c r="AG156" s="1272"/>
      <c r="AH156" s="1272"/>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48" t="s">
        <v>2649</v>
      </c>
      <c r="P157" s="1277"/>
      <c r="Q157" s="1277"/>
      <c r="R157" s="1277"/>
      <c r="S157" s="1277"/>
      <c r="T157" s="1277"/>
      <c r="U157" s="1277"/>
      <c r="V157" s="1277"/>
      <c r="W157" s="1277"/>
      <c r="X157" s="127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490">
        <v>95758</v>
      </c>
      <c r="P158" s="1490"/>
      <c r="Q158" s="1490"/>
      <c r="R158" s="149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278" t="s">
        <v>2650</v>
      </c>
      <c r="P159" s="1485"/>
      <c r="Q159" s="1485"/>
      <c r="R159" s="1485"/>
      <c r="S159" s="1485"/>
      <c r="T159" s="1485"/>
      <c r="V159" s="97" t="s">
        <v>271</v>
      </c>
      <c r="W159" s="1491"/>
      <c r="X159" s="1491"/>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278" t="s">
        <v>2651</v>
      </c>
      <c r="P160" s="1485"/>
      <c r="Q160" s="1485"/>
      <c r="R160" s="1485"/>
      <c r="S160" s="1485"/>
      <c r="T160" s="1485"/>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464" t="s">
        <v>2652</v>
      </c>
      <c r="P161" s="1464"/>
      <c r="Q161" s="1464"/>
      <c r="R161" s="1464"/>
      <c r="S161" s="1464"/>
      <c r="T161" s="1464"/>
      <c r="U161" s="1464"/>
      <c r="V161" s="1464"/>
      <c r="W161" s="1464"/>
      <c r="X161" s="1464"/>
      <c r="Y161" s="1464"/>
      <c r="Z161" s="1464"/>
      <c r="AA161" s="1464"/>
      <c r="AB161" s="1464"/>
      <c r="AC161" s="1464"/>
      <c r="AD161" s="1464"/>
      <c r="AE161" s="1464"/>
      <c r="AF161" s="1464"/>
      <c r="AG161" s="1464"/>
      <c r="AH161" s="1464"/>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481" t="s">
        <v>2170</v>
      </c>
      <c r="E164" s="1481"/>
      <c r="F164" s="1481"/>
      <c r="G164" s="1481"/>
      <c r="H164" s="1481"/>
      <c r="I164" s="1481"/>
      <c r="J164" s="1481"/>
      <c r="K164" s="1481"/>
      <c r="L164" s="1481"/>
      <c r="M164" s="1481"/>
      <c r="N164" s="1481"/>
      <c r="O164" s="1481"/>
      <c r="P164" s="1481"/>
      <c r="Q164" s="1481"/>
      <c r="R164" s="1481"/>
      <c r="S164" s="1481"/>
      <c r="T164" s="1481"/>
      <c r="U164" s="1481"/>
      <c r="V164" s="1481"/>
      <c r="W164" s="1481"/>
      <c r="X164" s="1481"/>
      <c r="Y164" s="1481"/>
      <c r="Z164" s="1481"/>
      <c r="AA164" s="1481"/>
      <c r="AB164" s="1481"/>
      <c r="AC164" s="1481"/>
      <c r="AD164" s="1481"/>
      <c r="AE164" s="1481"/>
      <c r="AF164" s="1481"/>
      <c r="AG164" s="1481"/>
      <c r="AH164" s="1481"/>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92" t="s">
        <v>539</v>
      </c>
      <c r="B169" s="1492"/>
      <c r="C169" s="1492"/>
      <c r="D169" s="1492"/>
      <c r="E169" s="1492"/>
      <c r="F169" s="1492"/>
      <c r="G169" s="1492"/>
      <c r="H169" s="1492"/>
      <c r="I169" s="1492"/>
      <c r="J169" s="1492"/>
      <c r="K169" s="1492"/>
      <c r="L169" s="1492"/>
      <c r="M169" s="1492"/>
      <c r="N169" s="1492"/>
      <c r="O169" s="1492"/>
      <c r="P169" s="1492"/>
      <c r="Q169" s="1492"/>
      <c r="R169" s="1492"/>
      <c r="S169" s="1492"/>
      <c r="T169" s="1492"/>
      <c r="U169" s="1492"/>
      <c r="V169" s="1492"/>
      <c r="W169" s="1492"/>
      <c r="X169" s="1492"/>
      <c r="Y169" s="1492"/>
      <c r="Z169" s="1492"/>
      <c r="AA169" s="1492"/>
      <c r="AB169" s="1492"/>
      <c r="AC169" s="1492"/>
      <c r="AD169" s="1492"/>
      <c r="AE169" s="1492"/>
      <c r="AF169" s="1492"/>
      <c r="AG169" s="1492"/>
      <c r="AH169" s="1492"/>
      <c r="AI169" s="1492"/>
      <c r="AJ169" s="1492"/>
      <c r="AK169" s="1492"/>
      <c r="AL169" s="1492"/>
      <c r="AM169" s="1492"/>
      <c r="AN169" s="1492"/>
      <c r="AO169" s="1492"/>
      <c r="AP169" s="1492"/>
      <c r="AQ169" s="1492"/>
      <c r="AR169" s="1492"/>
      <c r="AS169" s="1492"/>
      <c r="AT169" s="149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92"/>
      <c r="B170" s="1492"/>
      <c r="C170" s="1492"/>
      <c r="D170" s="1492"/>
      <c r="E170" s="1492"/>
      <c r="F170" s="1492"/>
      <c r="G170" s="1492"/>
      <c r="H170" s="1492"/>
      <c r="I170" s="1492"/>
      <c r="J170" s="1492"/>
      <c r="K170" s="1492"/>
      <c r="L170" s="1492"/>
      <c r="M170" s="1492"/>
      <c r="N170" s="1492"/>
      <c r="O170" s="1492"/>
      <c r="P170" s="1492"/>
      <c r="Q170" s="1492"/>
      <c r="R170" s="1492"/>
      <c r="S170" s="1492"/>
      <c r="T170" s="1492"/>
      <c r="U170" s="1492"/>
      <c r="V170" s="1492"/>
      <c r="W170" s="1492"/>
      <c r="X170" s="1492"/>
      <c r="Y170" s="1492"/>
      <c r="Z170" s="1492"/>
      <c r="AA170" s="1492"/>
      <c r="AB170" s="1492"/>
      <c r="AC170" s="1492"/>
      <c r="AD170" s="1492"/>
      <c r="AE170" s="1492"/>
      <c r="AF170" s="1492"/>
      <c r="AG170" s="1492"/>
      <c r="AH170" s="1492"/>
      <c r="AI170" s="1492"/>
      <c r="AJ170" s="1492"/>
      <c r="AK170" s="1492"/>
      <c r="AL170" s="1492"/>
      <c r="AM170" s="1492"/>
      <c r="AN170" s="1492"/>
      <c r="AO170" s="1492"/>
      <c r="AP170" s="1492"/>
      <c r="AQ170" s="1492"/>
      <c r="AR170" s="1492"/>
      <c r="AS170" s="1492"/>
      <c r="AT170" s="149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472" t="s">
        <v>371</v>
      </c>
      <c r="K173" s="1472"/>
      <c r="L173" s="1472"/>
      <c r="M173" s="1472"/>
      <c r="N173" s="1472"/>
      <c r="O173" s="1472"/>
      <c r="P173" s="1472"/>
      <c r="Q173" s="1472"/>
      <c r="R173" s="1472"/>
      <c r="S173" s="1472"/>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272" t="s">
        <v>2056</v>
      </c>
      <c r="K174" s="1272"/>
      <c r="L174" s="1272"/>
      <c r="M174" s="1272"/>
      <c r="N174" s="1272"/>
      <c r="O174" s="1272"/>
      <c r="P174" s="1272"/>
      <c r="Q174" s="1272"/>
      <c r="R174" s="1272"/>
      <c r="S174" s="1272"/>
      <c r="T174" s="1272"/>
      <c r="U174" s="1272"/>
      <c r="V174" s="1272"/>
      <c r="W174" s="1272"/>
      <c r="X174" s="1272"/>
      <c r="Y174" s="1272"/>
      <c r="Z174" s="1272"/>
      <c r="AA174" s="1272"/>
      <c r="AB174" s="1272"/>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269" t="s">
        <v>545</v>
      </c>
      <c r="V175" s="1269"/>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483">
        <v>25</v>
      </c>
      <c r="V176" s="1483"/>
      <c r="W176" s="1" t="s">
        <v>306</v>
      </c>
      <c r="X176" s="1498">
        <v>777</v>
      </c>
      <c r="Y176" s="1498"/>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269" t="s">
        <v>669</v>
      </c>
      <c r="S177" s="1269"/>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497"/>
      <c r="AG178" s="1497"/>
      <c r="AH178" s="1" t="s">
        <v>306</v>
      </c>
      <c r="AI178" s="1376"/>
      <c r="AJ178" s="1376"/>
      <c r="AK178" s="1376"/>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269" t="s">
        <v>545</v>
      </c>
      <c r="Y180" s="1269"/>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46" t="str">
        <f>H18</f>
        <v>Seasons by Vintage</v>
      </c>
      <c r="J184" s="1346"/>
      <c r="K184" s="1346"/>
      <c r="L184" s="1346"/>
      <c r="M184" s="1346"/>
      <c r="N184" s="1346"/>
      <c r="O184" s="1346"/>
      <c r="P184" s="1346"/>
      <c r="Q184" s="1346"/>
      <c r="R184" s="1346"/>
      <c r="S184" s="1346"/>
      <c r="T184" s="1346"/>
      <c r="U184" s="1346"/>
      <c r="V184" s="1346"/>
      <c r="W184" s="1346"/>
      <c r="X184" s="1346"/>
      <c r="Y184" s="1346"/>
      <c r="Z184" s="1346"/>
      <c r="AA184" s="1346"/>
      <c r="AB184" s="1346"/>
      <c r="AC184" s="1346"/>
      <c r="AD184" s="1346"/>
      <c r="AE184" s="1346"/>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281" t="s">
        <v>2653</v>
      </c>
      <c r="J185" s="1271"/>
      <c r="K185" s="1271"/>
      <c r="L185" s="1271"/>
      <c r="M185" s="1271"/>
      <c r="N185" s="1271"/>
      <c r="O185" s="1271"/>
      <c r="P185" s="1271"/>
      <c r="Q185" s="1271"/>
      <c r="R185" s="1271"/>
      <c r="S185" s="1271"/>
      <c r="T185" s="1271"/>
      <c r="U185" s="1271"/>
      <c r="V185" s="1271"/>
      <c r="W185" s="1271"/>
      <c r="X185" s="1271"/>
      <c r="Y185" s="1271"/>
      <c r="Z185" s="1271"/>
      <c r="AA185" s="1271"/>
      <c r="AB185" s="1271"/>
      <c r="AC185" s="1271"/>
      <c r="AD185" s="1271"/>
      <c r="AE185" s="1271"/>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456"/>
      <c r="F187" s="1456"/>
      <c r="G187" s="1456"/>
      <c r="H187" s="1456"/>
      <c r="I187" s="1456"/>
      <c r="J187" s="1456"/>
      <c r="K187" s="1456"/>
      <c r="L187" s="1456"/>
      <c r="M187" s="1456"/>
      <c r="N187" s="1456"/>
      <c r="O187" s="1456"/>
      <c r="P187" s="1456"/>
      <c r="Q187" s="1456"/>
      <c r="R187" s="1456"/>
      <c r="S187" s="1456"/>
      <c r="T187" s="1456"/>
      <c r="U187" s="1456"/>
      <c r="V187" s="1456"/>
      <c r="W187" s="1456"/>
      <c r="X187" s="1456"/>
      <c r="Y187" s="1456"/>
      <c r="Z187" s="1456"/>
      <c r="AA187" s="1456"/>
      <c r="AB187" s="1456"/>
      <c r="AC187" s="1456"/>
      <c r="AD187" s="1456"/>
      <c r="AE187" s="1456"/>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391"/>
      <c r="F188" s="1391"/>
      <c r="G188" s="1391"/>
      <c r="H188" s="1391"/>
      <c r="I188" s="1391"/>
      <c r="J188" s="1391"/>
      <c r="K188" s="1391"/>
      <c r="L188" s="1391"/>
      <c r="M188" s="1391"/>
      <c r="N188" s="1391"/>
      <c r="O188" s="1391"/>
      <c r="P188" s="1391"/>
      <c r="Q188" s="1391"/>
      <c r="R188" s="1391"/>
      <c r="S188" s="1391"/>
      <c r="T188" s="1391"/>
      <c r="U188" s="1391"/>
      <c r="V188" s="1391"/>
      <c r="W188" s="1391"/>
      <c r="X188" s="1391"/>
      <c r="Y188" s="1391"/>
      <c r="Z188" s="1391"/>
      <c r="AA188" s="1391"/>
      <c r="AB188" s="1391"/>
      <c r="AC188" s="1391"/>
      <c r="AD188" s="1391"/>
      <c r="AE188" s="1391"/>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48" t="s">
        <v>2649</v>
      </c>
      <c r="J189" s="1272"/>
      <c r="K189" s="1272"/>
      <c r="L189" s="1272"/>
      <c r="M189" s="1272"/>
      <c r="N189" s="1272"/>
      <c r="O189" s="1272"/>
      <c r="P189" s="1272"/>
      <c r="Q189" t="s">
        <v>582</v>
      </c>
      <c r="T189" s="1272" t="s">
        <v>68</v>
      </c>
      <c r="U189" s="1272"/>
      <c r="V189" s="1272"/>
      <c r="W189" s="1272"/>
      <c r="X189" s="1272"/>
      <c r="Y189" s="1272"/>
      <c r="Z189" s="1272"/>
      <c r="AA189" s="1272"/>
      <c r="AB189" s="1272"/>
      <c r="AC189" s="1272"/>
      <c r="AD189" s="1272"/>
      <c r="AE189" s="127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271">
        <v>95757</v>
      </c>
      <c r="J190" s="1271"/>
      <c r="K190" s="1271"/>
      <c r="L190" s="1271"/>
      <c r="M190" s="1271"/>
      <c r="N190" s="1271"/>
      <c r="O190" t="s">
        <v>585</v>
      </c>
      <c r="T190" s="1488">
        <v>96.52</v>
      </c>
      <c r="U190" s="1488"/>
      <c r="V190" s="1488"/>
      <c r="W190" s="1488"/>
      <c r="X190" s="1488"/>
      <c r="Y190" s="1488"/>
      <c r="Z190" s="1488"/>
      <c r="AA190" s="1488"/>
      <c r="AB190" s="1488"/>
      <c r="AC190" s="1488"/>
      <c r="AD190" s="1488"/>
      <c r="AE190" s="1488"/>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453" t="s">
        <v>2793</v>
      </c>
      <c r="O191" s="1456"/>
      <c r="P191" s="1456"/>
      <c r="Q191" s="1456"/>
      <c r="R191" s="1456"/>
      <c r="S191" s="1456"/>
      <c r="T191" s="1456"/>
      <c r="U191" s="1456"/>
      <c r="V191" s="1456"/>
      <c r="W191" s="1456"/>
      <c r="X191" s="1456"/>
      <c r="Y191" s="1456"/>
      <c r="Z191" s="1456"/>
      <c r="AA191" s="1456"/>
      <c r="AB191" s="1456"/>
      <c r="AC191" s="1456"/>
      <c r="AD191" s="1456"/>
      <c r="AE191" s="145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391"/>
      <c r="O192" s="1391"/>
      <c r="P192" s="1391"/>
      <c r="Q192" s="1391"/>
      <c r="R192" s="1391"/>
      <c r="S192" s="1391"/>
      <c r="T192" s="1391"/>
      <c r="U192" s="1391"/>
      <c r="V192" s="1391"/>
      <c r="W192" s="1391"/>
      <c r="X192" s="1391"/>
      <c r="Y192" s="1391"/>
      <c r="Z192" s="1391"/>
      <c r="AA192" s="1391"/>
      <c r="AB192" s="1391"/>
      <c r="AC192" s="1391"/>
      <c r="AD192" s="1391"/>
      <c r="AE192" s="1391"/>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466" t="s">
        <v>1942</v>
      </c>
      <c r="U193" s="1466"/>
      <c r="V193" s="1466"/>
      <c r="W193" s="1466"/>
      <c r="X193" s="1466"/>
      <c r="Y193" s="1466"/>
      <c r="Z193" s="1466"/>
      <c r="AA193" s="1466"/>
      <c r="AB193" s="1466"/>
      <c r="AC193" s="1466"/>
      <c r="AD193" s="1466"/>
      <c r="AE193" s="1466"/>
      <c r="AF193" s="1466"/>
      <c r="AG193" s="1466"/>
      <c r="AH193" s="1466"/>
      <c r="AI193" s="1466"/>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269" t="s">
        <v>669</v>
      </c>
      <c r="AI194" s="1269"/>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269" t="s">
        <v>545</v>
      </c>
      <c r="U195" s="1269"/>
      <c r="W195" t="s">
        <v>684</v>
      </c>
      <c r="AH195" s="1269">
        <v>7</v>
      </c>
      <c r="AI195" s="1269"/>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58" t="s">
        <v>669</v>
      </c>
      <c r="U196" s="1358"/>
      <c r="W196" t="s">
        <v>685</v>
      </c>
      <c r="AH196" s="1269">
        <v>10</v>
      </c>
      <c r="AI196" s="1269"/>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58" t="s">
        <v>669</v>
      </c>
      <c r="U197" s="1358"/>
      <c r="W197" t="s">
        <v>686</v>
      </c>
      <c r="AH197" s="1269">
        <v>8</v>
      </c>
      <c r="AI197" s="1269"/>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478" t="s">
        <v>591</v>
      </c>
      <c r="U198" s="1358"/>
      <c r="V198"/>
      <c r="X198" s="1474" t="s">
        <v>2443</v>
      </c>
      <c r="Y198" s="1474"/>
      <c r="Z198" s="1474"/>
      <c r="AA198" s="1474"/>
      <c r="AB198" s="1474"/>
      <c r="AC198" s="1474"/>
      <c r="AD198" s="1474"/>
      <c r="AE198" s="1474"/>
      <c r="AF198" s="1474"/>
      <c r="AG198" s="1474"/>
      <c r="AH198" s="1474"/>
      <c r="AI198" s="1474"/>
      <c r="AJ198" s="1474"/>
      <c r="AK198" s="1474"/>
      <c r="AL198" s="1474"/>
      <c r="AM198" s="1474"/>
      <c r="AN198" s="1474"/>
      <c r="AO198" s="1474"/>
      <c r="AP198" s="1474"/>
      <c r="AQ198" s="1474"/>
      <c r="AR198" s="1474"/>
      <c r="AS198" s="1474"/>
      <c r="AT198" s="1474"/>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269" t="s">
        <v>669</v>
      </c>
      <c r="U199" s="1269"/>
      <c r="V199"/>
      <c r="W199"/>
      <c r="X199" s="1474"/>
      <c r="Y199" s="1474"/>
      <c r="Z199" s="1474"/>
      <c r="AA199" s="1474"/>
      <c r="AB199" s="1474"/>
      <c r="AC199" s="1474"/>
      <c r="AD199" s="1474"/>
      <c r="AE199" s="1474"/>
      <c r="AF199" s="1474"/>
      <c r="AG199" s="1474"/>
      <c r="AH199" s="1474"/>
      <c r="AI199" s="1474"/>
      <c r="AJ199" s="1474"/>
      <c r="AK199" s="1474"/>
      <c r="AL199" s="1474"/>
      <c r="AM199" s="1474"/>
      <c r="AN199" s="1474"/>
      <c r="AO199" s="1474"/>
      <c r="AP199" s="1474"/>
      <c r="AQ199" s="1474"/>
      <c r="AR199" s="1474"/>
      <c r="AS199" s="1474"/>
      <c r="AT199" s="1474"/>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269" t="s">
        <v>669</v>
      </c>
      <c r="U200" s="1269"/>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46" t="s">
        <v>385</v>
      </c>
      <c r="E204" s="1346"/>
      <c r="F204" s="1346"/>
      <c r="G204" s="1346"/>
      <c r="H204" s="1346"/>
      <c r="I204" s="1346"/>
      <c r="J204" s="1346"/>
      <c r="K204" s="1346"/>
      <c r="L204" s="1346"/>
      <c r="M204" s="1346"/>
      <c r="P204" s="1482">
        <f>M26</f>
        <v>2585630</v>
      </c>
      <c r="Q204" s="1462"/>
      <c r="R204" s="1462"/>
      <c r="S204" s="1462"/>
      <c r="T204" s="1462"/>
      <c r="U204" s="1462"/>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476" t="s">
        <v>1247</v>
      </c>
      <c r="E205" s="1346"/>
      <c r="F205" s="1346"/>
      <c r="G205" s="1346"/>
      <c r="H205" s="1346"/>
      <c r="I205" s="1346"/>
      <c r="J205" s="1346"/>
      <c r="K205" s="1346"/>
      <c r="L205" s="1346"/>
      <c r="M205" s="1346"/>
      <c r="P205" s="1462">
        <f>M27</f>
        <v>0</v>
      </c>
      <c r="Q205" s="1462"/>
      <c r="R205" s="1462"/>
      <c r="S205" s="1462"/>
      <c r="T205" s="1462"/>
      <c r="U205" s="1462"/>
      <c r="V205" s="28"/>
      <c r="W205" s="3" t="s">
        <v>1709</v>
      </c>
      <c r="Z205" s="1499" t="s">
        <v>2173</v>
      </c>
      <c r="AA205" s="1499"/>
      <c r="AB205" s="1499"/>
      <c r="AC205" s="1499"/>
      <c r="AD205" s="1499"/>
      <c r="AE205" s="1499"/>
      <c r="AF205" s="1499"/>
      <c r="AG205" s="1499"/>
      <c r="AH205" s="1499"/>
      <c r="AI205" s="1499"/>
      <c r="AJ205" s="1499"/>
      <c r="AK205" s="1499"/>
      <c r="AL205" s="1499"/>
      <c r="AM205" s="1499"/>
      <c r="AN205" s="1499"/>
      <c r="AP205" s="1438"/>
      <c r="AQ205" s="1438"/>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277" t="s">
        <v>2654</v>
      </c>
      <c r="E208" s="1277"/>
      <c r="F208" s="1277"/>
      <c r="G208" s="1277"/>
      <c r="H208" s="1277"/>
      <c r="I208" s="1277"/>
      <c r="J208" s="1277"/>
      <c r="K208" s="1277"/>
      <c r="L208" s="1277"/>
      <c r="M208" s="1277"/>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277" t="s">
        <v>1831</v>
      </c>
      <c r="E211" s="1277"/>
      <c r="F211" s="1277"/>
      <c r="G211" s="1277"/>
      <c r="H211" s="1277"/>
      <c r="I211" s="1277"/>
      <c r="J211" s="1277"/>
      <c r="K211" s="1277"/>
      <c r="L211" s="1277"/>
      <c r="M211" s="1277"/>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269"/>
      <c r="R212" s="1269"/>
      <c r="T212" s="1494">
        <f>IFERROR(Q212/AG449,0)</f>
        <v>0</v>
      </c>
      <c r="U212" s="1495"/>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79" t="s">
        <v>591</v>
      </c>
      <c r="E214" s="1479"/>
      <c r="F214" s="1479"/>
      <c r="G214" s="1479"/>
      <c r="H214" s="1479"/>
      <c r="I214" s="1479"/>
      <c r="J214" s="1479"/>
      <c r="K214" s="1479"/>
      <c r="L214" s="1479"/>
      <c r="M214" s="1479"/>
      <c r="N214" s="1479"/>
      <c r="O214" s="1479"/>
      <c r="P214" s="1479"/>
      <c r="Q214" s="1479"/>
      <c r="R214" s="1479"/>
      <c r="S214" s="1479"/>
      <c r="T214" s="1479"/>
      <c r="U214" s="1479"/>
      <c r="V214" s="1479"/>
      <c r="W214" s="1479"/>
      <c r="X214" s="1479"/>
      <c r="Y214" s="1479"/>
      <c r="Z214" s="1479"/>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445"/>
      <c r="AC215" s="1445"/>
      <c r="AD215" s="1445"/>
      <c r="AE215" s="1445"/>
      <c r="AF215" s="1445"/>
      <c r="AG215" s="1445"/>
      <c r="AH215" s="1445"/>
      <c r="AI215" s="1445"/>
      <c r="AJ215" s="1445"/>
      <c r="AK215" s="1445"/>
      <c r="AL215" s="1445"/>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445"/>
      <c r="AC216" s="1445"/>
      <c r="AD216" s="1445"/>
      <c r="AE216" s="1445"/>
      <c r="AF216" s="1445"/>
      <c r="AG216" s="1445"/>
      <c r="AH216" s="1445"/>
      <c r="AI216" s="1445"/>
      <c r="AJ216" s="1445"/>
      <c r="AK216" s="1445"/>
      <c r="AL216" s="1445"/>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277" t="s">
        <v>1064</v>
      </c>
      <c r="E220" s="1277"/>
      <c r="F220" s="1277"/>
      <c r="G220" s="1277"/>
      <c r="H220" s="1277"/>
      <c r="I220" s="1277"/>
      <c r="J220" s="1277"/>
      <c r="K220" s="1277"/>
      <c r="L220" s="1277"/>
      <c r="M220" s="1277"/>
      <c r="N220" s="1277"/>
      <c r="O220" s="1277"/>
      <c r="P220" s="1277"/>
      <c r="Q220" s="1277"/>
      <c r="R220" s="1277"/>
      <c r="S220" s="1277"/>
      <c r="T220" s="1277"/>
      <c r="U220" s="1277"/>
      <c r="V220" s="1277"/>
      <c r="W220" s="1277"/>
      <c r="X220" s="1277"/>
      <c r="Y220" s="1277"/>
      <c r="Z220" s="1277"/>
      <c r="AC220" s="1475" t="s">
        <v>2397</v>
      </c>
      <c r="AD220" s="1475"/>
      <c r="AE220" s="1475"/>
      <c r="AF220" s="1475"/>
      <c r="AG220" s="1475"/>
      <c r="AH220" s="1475"/>
      <c r="AI220" s="1475"/>
      <c r="AJ220" s="1475"/>
      <c r="AK220" s="1475"/>
      <c r="AL220" s="1475"/>
      <c r="AM220" s="1475"/>
      <c r="AN220" s="1475"/>
      <c r="AO220" s="1475"/>
      <c r="AP220" s="1475"/>
      <c r="AQ220" s="1475"/>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269" t="s">
        <v>669</v>
      </c>
      <c r="W224" s="1269"/>
      <c r="Y224" s="1193"/>
      <c r="BA224" s="3"/>
    </row>
    <row r="225" spans="1:69" ht="12.95" customHeight="1">
      <c r="A225" s="2"/>
      <c r="B225" s="14"/>
      <c r="C225" s="2"/>
      <c r="E225" s="3" t="s">
        <v>2542</v>
      </c>
      <c r="V225" s="1269" t="s">
        <v>545</v>
      </c>
      <c r="W225" s="126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58" t="s">
        <v>669</v>
      </c>
      <c r="W226" s="1358"/>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58" t="s">
        <v>669</v>
      </c>
      <c r="W227" s="1358"/>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58" t="s">
        <v>669</v>
      </c>
      <c r="W228" s="1358"/>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58" t="s">
        <v>669</v>
      </c>
      <c r="W229" s="1358"/>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92" t="s">
        <v>540</v>
      </c>
      <c r="B231" s="1492"/>
      <c r="C231" s="1492"/>
      <c r="D231" s="1492"/>
      <c r="E231" s="1492"/>
      <c r="F231" s="1492"/>
      <c r="G231" s="1492"/>
      <c r="H231" s="1492"/>
      <c r="I231" s="1492"/>
      <c r="J231" s="1492"/>
      <c r="K231" s="1492"/>
      <c r="L231" s="1492"/>
      <c r="M231" s="1492"/>
      <c r="N231" s="1492"/>
      <c r="O231" s="1492"/>
      <c r="P231" s="1492"/>
      <c r="Q231" s="1492"/>
      <c r="R231" s="1492"/>
      <c r="S231" s="1492"/>
      <c r="T231" s="1492"/>
      <c r="U231" s="1492"/>
      <c r="V231" s="1492"/>
      <c r="W231" s="1492"/>
      <c r="X231" s="1492"/>
      <c r="Y231" s="1492"/>
      <c r="Z231" s="1492"/>
      <c r="AA231" s="1492"/>
      <c r="AB231" s="1492"/>
      <c r="AC231" s="1492"/>
      <c r="AD231" s="1492"/>
      <c r="AE231" s="1492"/>
      <c r="AF231" s="1492"/>
      <c r="AG231" s="1492"/>
      <c r="AH231" s="1492"/>
      <c r="AI231" s="1492"/>
      <c r="AJ231" s="1492"/>
      <c r="AK231" s="1492"/>
      <c r="AL231" s="1492"/>
      <c r="AM231" s="1492"/>
      <c r="AN231" s="1492"/>
      <c r="AO231" s="1492"/>
      <c r="AP231" s="1492"/>
      <c r="AQ231" s="1492"/>
      <c r="AR231" s="1492"/>
      <c r="AS231" s="1492"/>
      <c r="AT231" s="1492"/>
      <c r="AU231" s="95"/>
      <c r="AV231" s="95"/>
      <c r="AW231" s="95"/>
      <c r="AX231" s="95"/>
      <c r="AY231" s="95"/>
      <c r="AZ231" s="3"/>
      <c r="BA231" s="3"/>
      <c r="BP231" s="34"/>
    </row>
    <row r="232" spans="1:69" ht="12.95" customHeight="1">
      <c r="A232" s="1492"/>
      <c r="B232" s="1492"/>
      <c r="C232" s="1492"/>
      <c r="D232" s="1492"/>
      <c r="E232" s="1492"/>
      <c r="F232" s="1492"/>
      <c r="G232" s="1492"/>
      <c r="H232" s="1492"/>
      <c r="I232" s="1492"/>
      <c r="J232" s="1492"/>
      <c r="K232" s="1492"/>
      <c r="L232" s="1492"/>
      <c r="M232" s="1492"/>
      <c r="N232" s="1492"/>
      <c r="O232" s="1492"/>
      <c r="P232" s="1492"/>
      <c r="Q232" s="1492"/>
      <c r="R232" s="1492"/>
      <c r="S232" s="1492"/>
      <c r="T232" s="1492"/>
      <c r="U232" s="1492"/>
      <c r="V232" s="1492"/>
      <c r="W232" s="1492"/>
      <c r="X232" s="1492"/>
      <c r="Y232" s="1492"/>
      <c r="Z232" s="1492"/>
      <c r="AA232" s="1492"/>
      <c r="AB232" s="1492"/>
      <c r="AC232" s="1492"/>
      <c r="AD232" s="1492"/>
      <c r="AE232" s="1492"/>
      <c r="AF232" s="1492"/>
      <c r="AG232" s="1492"/>
      <c r="AH232" s="1492"/>
      <c r="AI232" s="1492"/>
      <c r="AJ232" s="1492"/>
      <c r="AK232" s="1492"/>
      <c r="AL232" s="1492"/>
      <c r="AM232" s="1492"/>
      <c r="AN232" s="1492"/>
      <c r="AO232" s="1492"/>
      <c r="AP232" s="1492"/>
      <c r="AQ232" s="1492"/>
      <c r="AR232" s="1492"/>
      <c r="AS232" s="1492"/>
      <c r="AT232" s="1492"/>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69" t="s">
        <v>591</v>
      </c>
      <c r="AJ235" s="1269"/>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69" t="s">
        <v>545</v>
      </c>
      <c r="AJ236" s="1269"/>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69" t="s">
        <v>545</v>
      </c>
      <c r="AJ237" s="1269"/>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69" t="s">
        <v>591</v>
      </c>
      <c r="AJ238" s="1269"/>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489" t="str">
        <f>H16</f>
        <v xml:space="preserve">Vintage Housing Holdings, LLC </v>
      </c>
      <c r="N241" s="1489"/>
      <c r="O241" s="1489"/>
      <c r="P241" s="1489"/>
      <c r="Q241" s="1489"/>
      <c r="R241" s="1489"/>
      <c r="S241" s="1489"/>
      <c r="T241" s="1489"/>
      <c r="U241" s="1489"/>
      <c r="V241" s="1489"/>
      <c r="W241" s="1489"/>
      <c r="X241" s="1489"/>
      <c r="Y241" s="1489"/>
      <c r="Z241" s="1489"/>
      <c r="AA241" s="1489"/>
      <c r="AB241" s="1489"/>
      <c r="AC241" s="1489"/>
      <c r="AD241" s="1489"/>
      <c r="AE241" s="1489"/>
      <c r="AF241" s="1489"/>
      <c r="AG241" s="1489"/>
      <c r="AH241" s="1489"/>
      <c r="AI241" s="1489"/>
      <c r="AJ241" s="1489"/>
      <c r="AK241" s="1489"/>
      <c r="AZ241" s="4"/>
      <c r="BA241" s="3"/>
      <c r="BB241" s="205" t="s">
        <v>538</v>
      </c>
      <c r="BG241" s="241">
        <f>IF(AND(AND($M$258="nonprofit",$M$266="nonprofit",$M$274="for profit")),2,0)</f>
        <v>0</v>
      </c>
    </row>
    <row r="242" spans="1:67" ht="12.95" customHeight="1">
      <c r="D242" s="4" t="s">
        <v>85</v>
      </c>
      <c r="E242" s="4"/>
      <c r="F242" s="4"/>
      <c r="G242" s="4"/>
      <c r="H242" s="4"/>
      <c r="I242" s="4"/>
      <c r="J242" s="4"/>
      <c r="K242" s="4"/>
      <c r="M242" s="1448" t="s">
        <v>2670</v>
      </c>
      <c r="N242" s="1277"/>
      <c r="O242" s="1277"/>
      <c r="P242" s="1277"/>
      <c r="Q242" s="1277"/>
      <c r="R242" s="1277"/>
      <c r="S242" s="1277"/>
      <c r="T242" s="1277"/>
      <c r="U242" s="1277"/>
      <c r="V242" s="1277"/>
      <c r="W242" s="1277"/>
      <c r="X242" s="1277"/>
      <c r="Y242" s="1277"/>
      <c r="Z242" s="1277"/>
      <c r="AA242" s="1277"/>
      <c r="AB242" s="1277"/>
      <c r="AC242" s="1277"/>
      <c r="AD242" s="1277"/>
      <c r="AE242" s="1277"/>
      <c r="BB242" s="205" t="s">
        <v>538</v>
      </c>
      <c r="BG242" s="241">
        <f>IF(AND(AND($M$258="nonprofit",$M$266="for profit",$M$274="nonprofit")),2,0)</f>
        <v>0</v>
      </c>
    </row>
    <row r="243" spans="1:67" ht="12.95" customHeight="1">
      <c r="D243" s="4" t="s">
        <v>580</v>
      </c>
      <c r="E243" s="4"/>
      <c r="M243" s="1448" t="s">
        <v>2655</v>
      </c>
      <c r="N243" s="1277"/>
      <c r="O243" s="1277"/>
      <c r="P243" s="1277"/>
      <c r="Q243" s="1277"/>
      <c r="R243" s="1277"/>
      <c r="S243" s="1277"/>
      <c r="T243" s="1277"/>
      <c r="V243" s="33" t="s">
        <v>86</v>
      </c>
      <c r="W243" s="1281" t="s">
        <v>2656</v>
      </c>
      <c r="X243" s="1345"/>
      <c r="Y243" s="4" t="s">
        <v>583</v>
      </c>
      <c r="AC243" s="1277">
        <v>92660</v>
      </c>
      <c r="AD243" s="1277"/>
      <c r="AE243" s="1277"/>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48" t="s">
        <v>2657</v>
      </c>
      <c r="N244" s="1277"/>
      <c r="O244" s="1277"/>
      <c r="P244" s="1277"/>
      <c r="Q244" s="1277"/>
      <c r="R244" s="1277"/>
      <c r="S244" s="1277"/>
      <c r="T244" s="1277"/>
      <c r="U244" s="1277"/>
      <c r="V244" s="1277"/>
      <c r="W244" s="1277"/>
      <c r="X244" s="1277"/>
      <c r="Y244" s="1277"/>
      <c r="Z244" s="1277"/>
      <c r="AA244" s="1277"/>
      <c r="AB244" s="1277"/>
      <c r="AC244" s="1277"/>
      <c r="AD244" s="1277"/>
      <c r="AE244" s="1277"/>
      <c r="AI244" s="4"/>
      <c r="AJ244" s="4"/>
      <c r="AK244" s="4"/>
      <c r="AL244" s="4"/>
      <c r="AM244" s="4"/>
      <c r="AN244" s="4"/>
      <c r="AO244" s="4"/>
      <c r="AP244" s="4"/>
      <c r="AQ244" s="4"/>
      <c r="AR244" s="4"/>
      <c r="AS244" s="4"/>
      <c r="AT244" s="4"/>
      <c r="BB244" s="205"/>
      <c r="BG244" s="204"/>
    </row>
    <row r="245" spans="1:67" ht="12.95" customHeight="1">
      <c r="D245" s="4" t="s">
        <v>88</v>
      </c>
      <c r="E245" s="4"/>
      <c r="F245" s="4"/>
      <c r="M245" s="1280" t="s">
        <v>2658</v>
      </c>
      <c r="N245" s="1274"/>
      <c r="O245" s="1274"/>
      <c r="P245" s="1274"/>
      <c r="Q245" s="1274"/>
      <c r="R245" s="1274"/>
      <c r="S245" s="4" t="s">
        <v>206</v>
      </c>
      <c r="T245" s="4"/>
      <c r="U245" s="1345"/>
      <c r="V245" s="1345"/>
      <c r="W245" s="1345"/>
      <c r="X245" s="4" t="s">
        <v>89</v>
      </c>
      <c r="Z245" s="1274"/>
      <c r="AA245" s="1274"/>
      <c r="AB245" s="1274"/>
      <c r="AC245" s="1274"/>
      <c r="AD245" s="1274"/>
      <c r="AE245" s="1274"/>
      <c r="AU245" s="4"/>
      <c r="AV245" s="4"/>
      <c r="AW245" s="4"/>
      <c r="AX245" s="4"/>
      <c r="AY245" s="4"/>
      <c r="AZ245" s="4"/>
      <c r="BB245" s="204" t="s">
        <v>537</v>
      </c>
      <c r="BG245" s="241">
        <f>IF(AND(AND($M$258="nonprofit",$M$266="nonprofit",$M$274="(select one)")),1,0)</f>
        <v>0</v>
      </c>
    </row>
    <row r="246" spans="1:67" ht="12.95" customHeight="1">
      <c r="D246" s="4" t="s">
        <v>90</v>
      </c>
      <c r="E246" s="4"/>
      <c r="F246" s="4"/>
      <c r="M246" s="1464" t="s">
        <v>2659</v>
      </c>
      <c r="N246" s="1464"/>
      <c r="O246" s="1464"/>
      <c r="P246" s="1464"/>
      <c r="Q246" s="1464"/>
      <c r="R246" s="1464"/>
      <c r="S246" s="1464"/>
      <c r="T246" s="1464"/>
      <c r="U246" s="1464"/>
      <c r="V246" s="1464"/>
      <c r="W246" s="1464"/>
      <c r="X246" s="1464"/>
      <c r="Y246" s="1464"/>
      <c r="Z246" s="1464"/>
      <c r="AA246" s="1464"/>
      <c r="AB246" s="1464"/>
      <c r="AC246" s="1464"/>
      <c r="AD246" s="1464"/>
      <c r="AE246" s="1464"/>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271" t="s">
        <v>307</v>
      </c>
      <c r="N247" s="1271"/>
      <c r="O247" s="1271"/>
      <c r="P247" s="1271"/>
      <c r="Q247" s="1271"/>
      <c r="R247" s="1271"/>
      <c r="S247" s="1271"/>
      <c r="T247" s="1271"/>
      <c r="U247" s="204" t="s">
        <v>906</v>
      </c>
      <c r="V247" s="204"/>
      <c r="W247" s="204"/>
      <c r="X247" s="204"/>
      <c r="Y247" s="204"/>
      <c r="Z247" s="204"/>
      <c r="AA247" s="1470"/>
      <c r="AB247" s="1470"/>
      <c r="AC247" s="1470"/>
      <c r="AD247" s="1470"/>
      <c r="AE247" s="1470"/>
      <c r="AF247" s="1470"/>
      <c r="AG247" s="1470"/>
      <c r="AH247" s="1470"/>
      <c r="AI247" s="1470"/>
      <c r="AJ247" s="1470"/>
      <c r="AK247" s="1470"/>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272"/>
      <c r="N248" s="1272"/>
      <c r="O248" s="1272"/>
      <c r="P248" s="1272"/>
      <c r="Q248" s="1272"/>
      <c r="R248" s="1272"/>
      <c r="S248" s="1272"/>
      <c r="T248" s="1272"/>
      <c r="U248" s="1272"/>
      <c r="V248" s="1272"/>
      <c r="W248" s="1272"/>
      <c r="X248" s="1272"/>
      <c r="Y248" s="1272"/>
      <c r="Z248" s="1272"/>
      <c r="AA248" s="1272"/>
      <c r="AB248" s="1272"/>
      <c r="AC248" s="1272"/>
      <c r="AD248" s="1272"/>
      <c r="AE248" s="127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71" t="s">
        <v>2660</v>
      </c>
      <c r="N252" s="1467"/>
      <c r="O252" s="1467"/>
      <c r="P252" s="1467"/>
      <c r="Q252" s="1467"/>
      <c r="R252" s="1467"/>
      <c r="S252" s="1467"/>
      <c r="T252" s="1467"/>
      <c r="U252" s="1467"/>
      <c r="V252" s="1467"/>
      <c r="W252" s="1467"/>
      <c r="X252" s="1467"/>
      <c r="Y252" s="1467"/>
      <c r="Z252" s="1467"/>
      <c r="AA252" s="1467"/>
      <c r="AB252" s="1467"/>
      <c r="AC252" s="1467"/>
      <c r="AD252" s="1467"/>
      <c r="AE252" s="1467"/>
      <c r="AF252" s="1467" t="s">
        <v>2661</v>
      </c>
      <c r="AG252" s="1467"/>
      <c r="AH252" s="1467"/>
      <c r="AI252" s="1467"/>
      <c r="AJ252" s="1467"/>
      <c r="AK252" s="1467"/>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48" t="s">
        <v>2662</v>
      </c>
      <c r="N253" s="1277"/>
      <c r="O253" s="1277"/>
      <c r="P253" s="1277"/>
      <c r="Q253" s="1277"/>
      <c r="R253" s="1277"/>
      <c r="S253" s="1277"/>
      <c r="T253" s="1277"/>
      <c r="U253" s="1277"/>
      <c r="V253" s="1277"/>
      <c r="W253" s="1277"/>
      <c r="X253" s="1277"/>
      <c r="Y253" s="1277"/>
      <c r="Z253" s="1277"/>
      <c r="AA253" s="1277"/>
      <c r="AB253" s="1277"/>
      <c r="AC253" s="1277"/>
      <c r="AD253" s="1277"/>
      <c r="AE253" s="1277"/>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48" t="s">
        <v>2663</v>
      </c>
      <c r="N254" s="1277"/>
      <c r="O254" s="1277"/>
      <c r="P254" s="1277"/>
      <c r="Q254" s="1277"/>
      <c r="R254" s="1277"/>
      <c r="S254" s="1277"/>
      <c r="T254" s="1277"/>
      <c r="V254" s="33" t="s">
        <v>86</v>
      </c>
      <c r="W254" s="1281" t="s">
        <v>2664</v>
      </c>
      <c r="X254" s="1345"/>
      <c r="Y254" s="4" t="s">
        <v>583</v>
      </c>
      <c r="AC254" s="1277">
        <v>92660</v>
      </c>
      <c r="AD254" s="1277"/>
      <c r="AE254" s="1277"/>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48" t="s">
        <v>2665</v>
      </c>
      <c r="N255" s="1277"/>
      <c r="O255" s="1277"/>
      <c r="P255" s="1277"/>
      <c r="Q255" s="1277"/>
      <c r="R255" s="1277"/>
      <c r="S255" s="1277"/>
      <c r="T255" s="1277"/>
      <c r="U255" s="1277"/>
      <c r="V255" s="1277"/>
      <c r="W255" s="1277"/>
      <c r="X255" s="1277"/>
      <c r="Y255" s="1277"/>
      <c r="Z255" s="1277"/>
      <c r="AA255" s="1277"/>
      <c r="AB255" s="1277"/>
      <c r="AC255" s="1277"/>
      <c r="AD255" s="1277"/>
      <c r="AE255" s="1277"/>
      <c r="AH255" s="1496">
        <v>1E-3</v>
      </c>
      <c r="AI255" s="1496"/>
      <c r="AJ255" s="1496"/>
      <c r="AK255" s="1496"/>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280" t="s">
        <v>2666</v>
      </c>
      <c r="N256" s="1274"/>
      <c r="O256" s="1274"/>
      <c r="P256" s="1274"/>
      <c r="Q256" s="1274"/>
      <c r="R256" s="1274"/>
      <c r="S256" s="4" t="s">
        <v>206</v>
      </c>
      <c r="T256" s="4"/>
      <c r="U256" s="1345"/>
      <c r="V256" s="1345"/>
      <c r="W256" s="1345"/>
      <c r="X256" s="4" t="s">
        <v>89</v>
      </c>
      <c r="Z256" s="1274"/>
      <c r="AA256" s="1274"/>
      <c r="AB256" s="1274"/>
      <c r="AC256" s="1274"/>
      <c r="AD256" s="1274"/>
      <c r="AE256" s="1274"/>
      <c r="AU256" s="4"/>
      <c r="AV256" s="4"/>
      <c r="AW256" s="4"/>
      <c r="AX256" s="4"/>
      <c r="AY256" s="4"/>
      <c r="BG256">
        <v>0</v>
      </c>
      <c r="BH256" s="3" t="str">
        <f>""</f>
        <v/>
      </c>
      <c r="BN256" s="34"/>
    </row>
    <row r="257" spans="1:66" ht="12.95" customHeight="1">
      <c r="A257" s="19"/>
      <c r="B257" s="4"/>
      <c r="C257" s="4"/>
      <c r="D257" s="4" t="s">
        <v>90</v>
      </c>
      <c r="E257" s="4"/>
      <c r="F257" s="4"/>
      <c r="M257" s="1464" t="s">
        <v>2667</v>
      </c>
      <c r="N257" s="1464"/>
      <c r="O257" s="1464"/>
      <c r="P257" s="1464"/>
      <c r="Q257" s="1464"/>
      <c r="R257" s="1464"/>
      <c r="S257" s="1464"/>
      <c r="T257" s="1464"/>
      <c r="U257" s="1464"/>
      <c r="V257" s="1464"/>
      <c r="W257" s="1464"/>
      <c r="X257" s="1464"/>
      <c r="Y257" s="1464"/>
      <c r="Z257" s="1464"/>
      <c r="AA257" s="1464"/>
      <c r="AB257" s="1464"/>
      <c r="AC257" s="1464"/>
      <c r="AD257" s="1464"/>
      <c r="AE257" s="1464"/>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271" t="s">
        <v>534</v>
      </c>
      <c r="N258" s="1271"/>
      <c r="O258" s="1271"/>
      <c r="P258" s="1271"/>
      <c r="Q258" s="1271"/>
      <c r="R258" s="1271"/>
      <c r="S258" s="1271"/>
      <c r="T258" s="1271"/>
      <c r="U258" s="204" t="s">
        <v>906</v>
      </c>
      <c r="V258" s="204"/>
      <c r="W258" s="204"/>
      <c r="X258" s="204"/>
      <c r="Y258" s="204"/>
      <c r="Z258" s="204"/>
      <c r="AA258" s="1469" t="s">
        <v>2668</v>
      </c>
      <c r="AB258" s="1470"/>
      <c r="AC258" s="1470"/>
      <c r="AD258" s="1470"/>
      <c r="AE258" s="1470"/>
      <c r="AF258" s="1470"/>
      <c r="AG258" s="1470"/>
      <c r="AH258" s="1470"/>
      <c r="AI258" s="1470"/>
      <c r="AJ258" s="1470"/>
      <c r="AK258" s="1470"/>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71" t="s">
        <v>2671</v>
      </c>
      <c r="N260" s="1467"/>
      <c r="O260" s="1467"/>
      <c r="P260" s="1467"/>
      <c r="Q260" s="1467"/>
      <c r="R260" s="1467"/>
      <c r="S260" s="1467"/>
      <c r="T260" s="1467"/>
      <c r="U260" s="1467"/>
      <c r="V260" s="1467"/>
      <c r="W260" s="1467"/>
      <c r="X260" s="1467"/>
      <c r="Y260" s="1467"/>
      <c r="Z260" s="1467"/>
      <c r="AA260" s="1467"/>
      <c r="AB260" s="1467"/>
      <c r="AC260" s="1467"/>
      <c r="AD260" s="1467"/>
      <c r="AE260" s="1467"/>
      <c r="AF260" s="1467" t="s">
        <v>2669</v>
      </c>
      <c r="AG260" s="1467"/>
      <c r="AH260" s="1467"/>
      <c r="AI260" s="1467"/>
      <c r="AJ260" s="1467"/>
      <c r="AK260" s="1467"/>
      <c r="AU260" s="4"/>
      <c r="AV260" s="4"/>
      <c r="AW260" s="4"/>
      <c r="AX260" s="4"/>
      <c r="AY260" s="4"/>
      <c r="BN260" s="34"/>
    </row>
    <row r="261" spans="1:66" ht="12.95" customHeight="1">
      <c r="A261" s="19"/>
      <c r="B261" s="4"/>
      <c r="C261" s="4"/>
      <c r="D261" s="4" t="s">
        <v>85</v>
      </c>
      <c r="E261" s="4"/>
      <c r="F261" s="4"/>
      <c r="G261" s="4"/>
      <c r="H261" s="4"/>
      <c r="I261" s="4"/>
      <c r="J261" s="4"/>
      <c r="K261" s="4"/>
      <c r="L261" s="4"/>
      <c r="M261" s="1448" t="s">
        <v>2670</v>
      </c>
      <c r="N261" s="1277"/>
      <c r="O261" s="1277"/>
      <c r="P261" s="1277"/>
      <c r="Q261" s="1277"/>
      <c r="R261" s="1277"/>
      <c r="S261" s="1277"/>
      <c r="T261" s="1277"/>
      <c r="U261" s="1277"/>
      <c r="V261" s="1277"/>
      <c r="W261" s="1277"/>
      <c r="X261" s="1277"/>
      <c r="Y261" s="1277"/>
      <c r="Z261" s="1277"/>
      <c r="AA261" s="1277"/>
      <c r="AB261" s="1277"/>
      <c r="AC261" s="1277"/>
      <c r="AD261" s="1277"/>
      <c r="AE261" s="1277"/>
      <c r="AF261" s="3" t="s">
        <v>1179</v>
      </c>
      <c r="AL261" s="4"/>
      <c r="AM261" s="4"/>
      <c r="AN261" s="4"/>
      <c r="AO261" s="4"/>
      <c r="AP261" s="4"/>
      <c r="AQ261" s="4"/>
      <c r="AR261" s="4"/>
      <c r="AS261" s="4"/>
      <c r="AT261" s="4"/>
      <c r="BN261" s="34"/>
    </row>
    <row r="262" spans="1:66" ht="12.95" customHeight="1">
      <c r="A262" s="19"/>
      <c r="B262" s="4"/>
      <c r="C262" s="4"/>
      <c r="D262" s="4" t="s">
        <v>580</v>
      </c>
      <c r="E262" s="4"/>
      <c r="M262" s="1448" t="s">
        <v>2663</v>
      </c>
      <c r="N262" s="1277"/>
      <c r="O262" s="1277"/>
      <c r="P262" s="1277"/>
      <c r="Q262" s="1277"/>
      <c r="R262" s="1277"/>
      <c r="S262" s="1277"/>
      <c r="T262" s="1277"/>
      <c r="V262" s="33" t="s">
        <v>86</v>
      </c>
      <c r="W262" s="1281" t="s">
        <v>2664</v>
      </c>
      <c r="X262" s="1345"/>
      <c r="Y262" s="4" t="s">
        <v>583</v>
      </c>
      <c r="AC262" s="1277">
        <v>92660</v>
      </c>
      <c r="AD262" s="1277"/>
      <c r="AE262" s="1277"/>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48" t="s">
        <v>2657</v>
      </c>
      <c r="N263" s="1277"/>
      <c r="O263" s="1277"/>
      <c r="P263" s="1277"/>
      <c r="Q263" s="1277"/>
      <c r="R263" s="1277"/>
      <c r="S263" s="1277"/>
      <c r="T263" s="1277"/>
      <c r="U263" s="1277"/>
      <c r="V263" s="1277"/>
      <c r="W263" s="1277"/>
      <c r="X263" s="1277"/>
      <c r="Y263" s="1277"/>
      <c r="Z263" s="1277"/>
      <c r="AA263" s="1277"/>
      <c r="AB263" s="1277"/>
      <c r="AC263" s="1277"/>
      <c r="AD263" s="1277"/>
      <c r="AE263" s="1277"/>
      <c r="AH263" s="1496">
        <v>8.9999999999999993E-3</v>
      </c>
      <c r="AI263" s="1496"/>
      <c r="AJ263" s="1496"/>
      <c r="AK263" s="1496"/>
      <c r="AL263" s="4"/>
      <c r="AM263" s="4"/>
      <c r="AN263" s="4"/>
      <c r="AO263" s="4"/>
      <c r="AP263" s="4"/>
      <c r="AQ263" s="4"/>
      <c r="AR263" s="4"/>
      <c r="AS263" s="4"/>
      <c r="AT263" s="4"/>
    </row>
    <row r="264" spans="1:66" ht="12.95" customHeight="1">
      <c r="A264" s="19"/>
      <c r="B264" s="4"/>
      <c r="C264" s="4"/>
      <c r="D264" s="4" t="s">
        <v>88</v>
      </c>
      <c r="E264" s="4"/>
      <c r="F264" s="4"/>
      <c r="M264" s="1280" t="s">
        <v>2658</v>
      </c>
      <c r="N264" s="1274"/>
      <c r="O264" s="1274"/>
      <c r="P264" s="1274"/>
      <c r="Q264" s="1274"/>
      <c r="R264" s="1274"/>
      <c r="S264" s="4" t="s">
        <v>206</v>
      </c>
      <c r="T264" s="4"/>
      <c r="U264" s="1345"/>
      <c r="V264" s="1345"/>
      <c r="W264" s="1345"/>
      <c r="X264" s="4" t="s">
        <v>89</v>
      </c>
      <c r="Z264" s="1274"/>
      <c r="AA264" s="1274"/>
      <c r="AB264" s="1274"/>
      <c r="AC264" s="1274"/>
      <c r="AD264" s="1274"/>
      <c r="AE264" s="1274"/>
      <c r="AU264" s="4"/>
      <c r="AV264" s="4"/>
      <c r="AW264" s="4"/>
      <c r="AX264" s="4"/>
      <c r="AY264" s="4"/>
      <c r="BN264" s="34"/>
    </row>
    <row r="265" spans="1:66" ht="12.95" customHeight="1">
      <c r="A265" s="19"/>
      <c r="B265" s="4"/>
      <c r="C265" s="4"/>
      <c r="D265" s="4" t="s">
        <v>90</v>
      </c>
      <c r="E265" s="4"/>
      <c r="F265" s="4"/>
      <c r="M265" s="1464" t="s">
        <v>2659</v>
      </c>
      <c r="N265" s="1464"/>
      <c r="O265" s="1464"/>
      <c r="P265" s="1464"/>
      <c r="Q265" s="1464"/>
      <c r="R265" s="1464"/>
      <c r="S265" s="1464"/>
      <c r="T265" s="1464"/>
      <c r="U265" s="1464"/>
      <c r="V265" s="1464"/>
      <c r="W265" s="1464"/>
      <c r="X265" s="1464"/>
      <c r="Y265" s="1464"/>
      <c r="Z265" s="1464"/>
      <c r="AA265" s="1464"/>
      <c r="AB265" s="1464"/>
      <c r="AC265" s="1464"/>
      <c r="AD265" s="1464"/>
      <c r="AE265" s="1464"/>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271" t="s">
        <v>536</v>
      </c>
      <c r="N266" s="1271"/>
      <c r="O266" s="1271"/>
      <c r="P266" s="1271"/>
      <c r="Q266" s="1271"/>
      <c r="R266" s="1271"/>
      <c r="S266" s="1271"/>
      <c r="T266" s="1271"/>
      <c r="U266" s="204" t="s">
        <v>906</v>
      </c>
      <c r="V266" s="204"/>
      <c r="W266" s="204"/>
      <c r="X266" s="204"/>
      <c r="Y266" s="204"/>
      <c r="Z266" s="204"/>
      <c r="AA266" s="1469" t="s">
        <v>2644</v>
      </c>
      <c r="AB266" s="1470"/>
      <c r="AC266" s="1470"/>
      <c r="AD266" s="1470"/>
      <c r="AE266" s="1470"/>
      <c r="AF266" s="1470"/>
      <c r="AG266" s="1470"/>
      <c r="AH266" s="1470"/>
      <c r="AI266" s="1470"/>
      <c r="AJ266" s="1470"/>
      <c r="AK266" s="1470"/>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67"/>
      <c r="N268" s="1467"/>
      <c r="O268" s="1467"/>
      <c r="P268" s="1467"/>
      <c r="Q268" s="1467"/>
      <c r="R268" s="1467"/>
      <c r="S268" s="1467"/>
      <c r="T268" s="1467"/>
      <c r="U268" s="1467"/>
      <c r="V268" s="1467"/>
      <c r="W268" s="1467"/>
      <c r="X268" s="1467"/>
      <c r="Y268" s="1467"/>
      <c r="Z268" s="1467"/>
      <c r="AA268" s="1467"/>
      <c r="AB268" s="1467"/>
      <c r="AC268" s="1467"/>
      <c r="AD268" s="1467"/>
      <c r="AE268" s="1467"/>
      <c r="AF268" s="1467" t="s">
        <v>307</v>
      </c>
      <c r="AG268" s="1467"/>
      <c r="AH268" s="1467"/>
      <c r="AI268" s="1467"/>
      <c r="AJ268" s="1467"/>
      <c r="AK268" s="1467"/>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277"/>
      <c r="N269" s="1277"/>
      <c r="O269" s="1277"/>
      <c r="P269" s="1277"/>
      <c r="Q269" s="1277"/>
      <c r="R269" s="1277"/>
      <c r="S269" s="1277"/>
      <c r="T269" s="1277"/>
      <c r="U269" s="1277"/>
      <c r="V269" s="1277"/>
      <c r="W269" s="1277"/>
      <c r="X269" s="1277"/>
      <c r="Y269" s="1277"/>
      <c r="Z269" s="1277"/>
      <c r="AA269" s="1277"/>
      <c r="AB269" s="1277"/>
      <c r="AC269" s="1277"/>
      <c r="AD269" s="1277"/>
      <c r="AE269" s="1277"/>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277"/>
      <c r="N270" s="1277"/>
      <c r="O270" s="1277"/>
      <c r="P270" s="1277"/>
      <c r="Q270" s="1277"/>
      <c r="R270" s="1277"/>
      <c r="S270" s="1277"/>
      <c r="T270" s="1277"/>
      <c r="V270" s="33" t="s">
        <v>86</v>
      </c>
      <c r="W270" s="1345"/>
      <c r="X270" s="1345"/>
      <c r="Y270" s="4" t="s">
        <v>583</v>
      </c>
      <c r="AC270" s="1277"/>
      <c r="AD270" s="1277"/>
      <c r="AE270" s="1277"/>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277"/>
      <c r="N271" s="1277"/>
      <c r="O271" s="1277"/>
      <c r="P271" s="1277"/>
      <c r="Q271" s="1277"/>
      <c r="R271" s="1277"/>
      <c r="S271" s="1277"/>
      <c r="T271" s="1277"/>
      <c r="U271" s="1277"/>
      <c r="V271" s="1277"/>
      <c r="W271" s="1277"/>
      <c r="X271" s="1277"/>
      <c r="Y271" s="1277"/>
      <c r="Z271" s="1277"/>
      <c r="AA271" s="1277"/>
      <c r="AB271" s="1277"/>
      <c r="AC271" s="1277"/>
      <c r="AD271" s="1277"/>
      <c r="AE271" s="1277"/>
      <c r="AH271" s="1496"/>
      <c r="AI271" s="1496"/>
      <c r="AJ271" s="1496"/>
      <c r="AK271" s="1496"/>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274"/>
      <c r="N272" s="1274"/>
      <c r="O272" s="1274"/>
      <c r="P272" s="1274"/>
      <c r="Q272" s="1274"/>
      <c r="R272" s="1274"/>
      <c r="S272" s="4" t="s">
        <v>206</v>
      </c>
      <c r="T272" s="4"/>
      <c r="U272" s="1345"/>
      <c r="V272" s="1345"/>
      <c r="W272" s="1345"/>
      <c r="X272" s="4" t="s">
        <v>89</v>
      </c>
      <c r="Z272" s="1274"/>
      <c r="AA272" s="1274"/>
      <c r="AB272" s="1274"/>
      <c r="AC272" s="1274"/>
      <c r="AD272" s="1274"/>
      <c r="AE272" s="1274"/>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64"/>
      <c r="N273" s="1464"/>
      <c r="O273" s="1464"/>
      <c r="P273" s="1464"/>
      <c r="Q273" s="1464"/>
      <c r="R273" s="1464"/>
      <c r="S273" s="1464"/>
      <c r="T273" s="1464"/>
      <c r="U273" s="1464"/>
      <c r="V273" s="1464"/>
      <c r="W273" s="1464"/>
      <c r="X273" s="1464"/>
      <c r="Y273" s="1464"/>
      <c r="Z273" s="1464"/>
      <c r="AA273" s="1465"/>
      <c r="AB273" s="1465"/>
      <c r="AC273" s="1465"/>
      <c r="AD273" s="1465"/>
      <c r="AE273" s="1465"/>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271" t="s">
        <v>307</v>
      </c>
      <c r="N274" s="1271"/>
      <c r="O274" s="1271"/>
      <c r="P274" s="1271"/>
      <c r="Q274" s="1271"/>
      <c r="R274" s="1271"/>
      <c r="S274" s="1271"/>
      <c r="T274" s="1271"/>
      <c r="U274" s="204" t="s">
        <v>906</v>
      </c>
      <c r="V274" s="204"/>
      <c r="W274" s="204"/>
      <c r="X274" s="204"/>
      <c r="Y274" s="204"/>
      <c r="Z274" s="204"/>
      <c r="AA274" s="1500"/>
      <c r="AB274" s="1500"/>
      <c r="AC274" s="1500"/>
      <c r="AD274" s="1500"/>
      <c r="AE274" s="1500"/>
      <c r="AF274" s="1500"/>
      <c r="AG274" s="1500"/>
      <c r="AH274" s="1500"/>
      <c r="AI274" s="1500"/>
      <c r="AJ274" s="1500"/>
      <c r="AK274" s="1500"/>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01" t="str">
        <f>IFERROR(BO254,"")</f>
        <v>Joint Venture</v>
      </c>
      <c r="U276" s="1501"/>
      <c r="V276" s="1501"/>
      <c r="W276" s="1501"/>
      <c r="X276" s="1501"/>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277" t="s">
        <v>173</v>
      </c>
      <c r="E279" s="1277"/>
      <c r="F279" s="1277"/>
      <c r="G279" s="1277"/>
      <c r="H279" s="1277"/>
      <c r="J279" t="s">
        <v>279</v>
      </c>
      <c r="X279" s="1463">
        <v>46264</v>
      </c>
      <c r="Y279" s="1463"/>
      <c r="Z279" s="1463"/>
      <c r="AA279" s="1463"/>
      <c r="AB279" s="1463"/>
      <c r="AC279" s="1463"/>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71" t="s">
        <v>2672</v>
      </c>
      <c r="M283" s="1467"/>
      <c r="N283" s="1467"/>
      <c r="O283" s="1467"/>
      <c r="P283" s="1467"/>
      <c r="Q283" s="1467"/>
      <c r="R283" s="1467"/>
      <c r="S283" s="1467"/>
      <c r="T283" s="1467"/>
      <c r="U283" s="1467"/>
      <c r="V283" s="1467"/>
      <c r="W283" s="1467"/>
      <c r="X283" s="1467"/>
      <c r="Y283" s="1467"/>
      <c r="Z283" s="1467"/>
      <c r="AA283" s="1467"/>
      <c r="AB283" s="1467"/>
      <c r="AC283" s="1467"/>
      <c r="AD283" s="1467"/>
      <c r="AE283" s="1467"/>
      <c r="AF283" s="1467"/>
      <c r="AG283" s="1467"/>
      <c r="AH283" s="1467"/>
      <c r="AI283" s="1467"/>
      <c r="AJ283" s="1467"/>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48" t="s">
        <v>2673</v>
      </c>
      <c r="M284" s="1277"/>
      <c r="N284" s="1277"/>
      <c r="O284" s="1277"/>
      <c r="P284" s="1277"/>
      <c r="Q284" s="1277"/>
      <c r="R284" s="1277"/>
      <c r="S284" s="1277"/>
      <c r="T284" s="1277"/>
      <c r="U284" s="1277"/>
      <c r="V284" s="1277"/>
      <c r="W284" s="1277"/>
      <c r="X284" s="1277"/>
      <c r="Y284" s="1277"/>
      <c r="Z284" s="1277"/>
      <c r="AA284" s="1277"/>
      <c r="AB284" s="1277"/>
      <c r="AC284" s="1277"/>
      <c r="AD284" s="1277"/>
      <c r="AK284" s="3"/>
      <c r="AL284" s="3"/>
      <c r="AM284" s="3"/>
      <c r="AN284" s="3"/>
      <c r="AO284" s="3"/>
      <c r="AP284" s="3"/>
      <c r="AQ284" s="3"/>
      <c r="AR284" s="3"/>
      <c r="AS284" s="3"/>
      <c r="AT284" s="3"/>
      <c r="AU284" s="3"/>
      <c r="AV284" s="3"/>
      <c r="AW284" s="3"/>
      <c r="AX284" s="3"/>
      <c r="AY284" s="3"/>
    </row>
    <row r="285" spans="1:51" ht="12.95" customHeight="1">
      <c r="D285" s="4" t="s">
        <v>580</v>
      </c>
      <c r="E285" s="4"/>
      <c r="L285" s="1448" t="s">
        <v>2674</v>
      </c>
      <c r="M285" s="1277"/>
      <c r="N285" s="1277"/>
      <c r="O285" s="1277"/>
      <c r="P285" s="1277"/>
      <c r="Q285" s="1277"/>
      <c r="R285" s="1277"/>
      <c r="S285" s="1277"/>
      <c r="U285" s="33" t="s">
        <v>86</v>
      </c>
      <c r="V285" s="1281" t="s">
        <v>2664</v>
      </c>
      <c r="W285" s="1345"/>
      <c r="X285" s="4" t="s">
        <v>583</v>
      </c>
      <c r="AB285" s="1277">
        <v>95811</v>
      </c>
      <c r="AC285" s="1277"/>
      <c r="AD285" s="1277"/>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48" t="s">
        <v>2675</v>
      </c>
      <c r="M286" s="1277"/>
      <c r="N286" s="1277"/>
      <c r="O286" s="1277"/>
      <c r="P286" s="1277"/>
      <c r="Q286" s="1277"/>
      <c r="R286" s="1277"/>
      <c r="S286" s="1277"/>
      <c r="T286" s="1277"/>
      <c r="U286" s="1277"/>
      <c r="V286" s="1277"/>
      <c r="W286" s="1277"/>
      <c r="X286" s="1277"/>
      <c r="Y286" s="1277"/>
      <c r="Z286" s="1277"/>
      <c r="AA286" s="1277"/>
      <c r="AB286" s="1277"/>
      <c r="AC286" s="1277"/>
      <c r="AD286" s="1277"/>
      <c r="AI286" s="4"/>
      <c r="AJ286" s="4"/>
      <c r="AK286" s="3"/>
      <c r="AL286" s="3"/>
      <c r="AM286" s="3"/>
      <c r="AN286" s="3"/>
      <c r="AO286" s="3"/>
      <c r="AP286" s="3"/>
      <c r="AQ286" s="3"/>
      <c r="AR286" s="3"/>
      <c r="AS286" s="3"/>
      <c r="AT286" s="3"/>
    </row>
    <row r="287" spans="1:51" ht="12.95" customHeight="1">
      <c r="D287" s="4" t="s">
        <v>88</v>
      </c>
      <c r="E287" s="4"/>
      <c r="F287" s="4"/>
      <c r="L287" s="1280" t="s">
        <v>2676</v>
      </c>
      <c r="M287" s="1274"/>
      <c r="N287" s="1274"/>
      <c r="O287" s="1274"/>
      <c r="P287" s="1274"/>
      <c r="Q287" s="1274"/>
      <c r="R287" s="4" t="s">
        <v>206</v>
      </c>
      <c r="S287" s="4"/>
      <c r="T287" s="1345"/>
      <c r="U287" s="1345"/>
      <c r="V287" s="1345"/>
      <c r="W287" s="4" t="s">
        <v>89</v>
      </c>
      <c r="Y287" s="1274"/>
      <c r="Z287" s="1274"/>
      <c r="AA287" s="1274"/>
      <c r="AB287" s="1274"/>
      <c r="AC287" s="1274"/>
      <c r="AD287" s="1274"/>
    </row>
    <row r="288" spans="1:51" ht="12.95" customHeight="1">
      <c r="D288" s="4" t="s">
        <v>90</v>
      </c>
      <c r="E288" s="4"/>
      <c r="F288" s="4"/>
      <c r="L288" s="1464" t="s">
        <v>2677</v>
      </c>
      <c r="M288" s="1464"/>
      <c r="N288" s="1464"/>
      <c r="O288" s="1464"/>
      <c r="P288" s="1464"/>
      <c r="Q288" s="1464"/>
      <c r="R288" s="1464"/>
      <c r="S288" s="1464"/>
      <c r="T288" s="1464"/>
      <c r="U288" s="1464"/>
      <c r="V288" s="1464"/>
      <c r="W288" s="1464"/>
      <c r="X288" s="1464"/>
      <c r="Y288" s="1464"/>
      <c r="Z288" s="1464"/>
      <c r="AA288" s="1464"/>
      <c r="AB288" s="1464"/>
      <c r="AC288" s="1464"/>
      <c r="AD288" s="1464"/>
      <c r="AF288" s="4"/>
      <c r="AG288" s="4"/>
      <c r="AH288" s="4"/>
      <c r="AI288" s="4"/>
      <c r="AJ288" s="4"/>
      <c r="AU288" s="3"/>
      <c r="AV288" s="3"/>
      <c r="AW288" s="3"/>
      <c r="AX288" s="3"/>
      <c r="AY288" s="3"/>
    </row>
    <row r="289" spans="1:51" ht="12.95" customHeight="1">
      <c r="D289" s="3" t="s">
        <v>623</v>
      </c>
      <c r="E289" s="3"/>
      <c r="F289" s="3"/>
      <c r="G289" s="3"/>
      <c r="H289" s="3"/>
      <c r="I289" s="3"/>
      <c r="L289" s="1281" t="s">
        <v>2678</v>
      </c>
      <c r="M289" s="1281"/>
      <c r="N289" s="1281"/>
      <c r="O289" s="1281"/>
      <c r="P289" s="1281"/>
      <c r="Q289" s="1281"/>
      <c r="R289" s="1281"/>
      <c r="S289" s="1281"/>
      <c r="T289" s="1281"/>
      <c r="U289" s="1281"/>
      <c r="V289" s="1281"/>
      <c r="W289" s="1281"/>
      <c r="X289" s="1281"/>
      <c r="Y289" s="1281"/>
      <c r="Z289" s="1281"/>
      <c r="AA289" s="1281"/>
      <c r="AB289" s="1281"/>
      <c r="AC289" s="1281"/>
      <c r="AD289" s="1281"/>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92" t="s">
        <v>541</v>
      </c>
      <c r="B291" s="1492"/>
      <c r="C291" s="1492"/>
      <c r="D291" s="1492"/>
      <c r="E291" s="1492"/>
      <c r="F291" s="1492"/>
      <c r="G291" s="1492"/>
      <c r="H291" s="1492"/>
      <c r="I291" s="1492"/>
      <c r="J291" s="1492"/>
      <c r="K291" s="1492"/>
      <c r="L291" s="1492"/>
      <c r="M291" s="1492"/>
      <c r="N291" s="1492"/>
      <c r="O291" s="1492"/>
      <c r="P291" s="1492"/>
      <c r="Q291" s="1492"/>
      <c r="R291" s="1492"/>
      <c r="S291" s="1492"/>
      <c r="T291" s="1492"/>
      <c r="U291" s="1492"/>
      <c r="V291" s="1492"/>
      <c r="W291" s="1492"/>
      <c r="X291" s="1492"/>
      <c r="Y291" s="1492"/>
      <c r="Z291" s="1492"/>
      <c r="AA291" s="1492"/>
      <c r="AB291" s="1492"/>
      <c r="AC291" s="1492"/>
      <c r="AD291" s="1492"/>
      <c r="AE291" s="1492"/>
      <c r="AF291" s="1492"/>
      <c r="AG291" s="1492"/>
      <c r="AH291" s="1492"/>
      <c r="AI291" s="1492"/>
      <c r="AJ291" s="1492"/>
      <c r="AK291" s="1492"/>
      <c r="AL291" s="1492"/>
      <c r="AM291" s="1492"/>
      <c r="AN291" s="1492"/>
      <c r="AO291" s="1492"/>
      <c r="AP291" s="1492"/>
      <c r="AQ291" s="1492"/>
      <c r="AR291" s="1492"/>
      <c r="AS291" s="1492"/>
      <c r="AT291" s="1492"/>
      <c r="AU291" s="95"/>
      <c r="AV291" s="95"/>
      <c r="AW291" s="95"/>
      <c r="AX291" s="95"/>
      <c r="AY291" s="95"/>
    </row>
    <row r="292" spans="1:51" ht="12.95" customHeight="1">
      <c r="A292" s="1492"/>
      <c r="B292" s="1492"/>
      <c r="C292" s="1492"/>
      <c r="D292" s="1492"/>
      <c r="E292" s="1492"/>
      <c r="F292" s="1492"/>
      <c r="G292" s="1492"/>
      <c r="H292" s="1492"/>
      <c r="I292" s="1492"/>
      <c r="J292" s="1492"/>
      <c r="K292" s="1492"/>
      <c r="L292" s="1492"/>
      <c r="M292" s="1492"/>
      <c r="N292" s="1492"/>
      <c r="O292" s="1492"/>
      <c r="P292" s="1492"/>
      <c r="Q292" s="1492"/>
      <c r="R292" s="1492"/>
      <c r="S292" s="1492"/>
      <c r="T292" s="1492"/>
      <c r="U292" s="1492"/>
      <c r="V292" s="1492"/>
      <c r="W292" s="1492"/>
      <c r="X292" s="1492"/>
      <c r="Y292" s="1492"/>
      <c r="Z292" s="1492"/>
      <c r="AA292" s="1492"/>
      <c r="AB292" s="1492"/>
      <c r="AC292" s="1492"/>
      <c r="AD292" s="1492"/>
      <c r="AE292" s="1492"/>
      <c r="AF292" s="1492"/>
      <c r="AG292" s="1492"/>
      <c r="AH292" s="1492"/>
      <c r="AI292" s="1492"/>
      <c r="AJ292" s="1492"/>
      <c r="AK292" s="1492"/>
      <c r="AL292" s="1492"/>
      <c r="AM292" s="1492"/>
      <c r="AN292" s="1492"/>
      <c r="AO292" s="1492"/>
      <c r="AP292" s="1492"/>
      <c r="AQ292" s="1492"/>
      <c r="AR292" s="1492"/>
      <c r="AS292" s="1492"/>
      <c r="AT292" s="1492"/>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266" t="s">
        <v>2679</v>
      </c>
      <c r="I296" s="1266"/>
      <c r="J296" s="1266"/>
      <c r="K296" s="1266"/>
      <c r="L296" s="1266"/>
      <c r="M296" s="1266"/>
      <c r="N296" s="1266"/>
      <c r="O296" s="1266"/>
      <c r="P296" s="1266"/>
      <c r="Q296" s="1266"/>
      <c r="R296" s="1266"/>
      <c r="T296" s="3" t="s">
        <v>567</v>
      </c>
      <c r="V296" s="3"/>
      <c r="W296" s="3"/>
      <c r="X296" s="3"/>
      <c r="Y296" s="3"/>
      <c r="AA296" s="1266" t="s">
        <v>2683</v>
      </c>
      <c r="AB296" s="1266"/>
      <c r="AC296" s="1266"/>
      <c r="AD296" s="1266"/>
      <c r="AE296" s="1266"/>
      <c r="AF296" s="1266"/>
      <c r="AG296" s="1266"/>
      <c r="AH296" s="1266"/>
      <c r="AI296" s="1266"/>
      <c r="AJ296" s="1266"/>
      <c r="AK296" s="1266"/>
    </row>
    <row r="297" spans="1:51" ht="12.95" customHeight="1">
      <c r="B297" s="3" t="s">
        <v>471</v>
      </c>
      <c r="C297" s="3"/>
      <c r="D297" s="3"/>
      <c r="E297" s="3"/>
      <c r="F297" s="3"/>
      <c r="H297" s="1267" t="s">
        <v>2680</v>
      </c>
      <c r="I297" s="1267"/>
      <c r="J297" s="1267"/>
      <c r="K297" s="1267"/>
      <c r="L297" s="1267"/>
      <c r="M297" s="1267"/>
      <c r="N297" s="1267"/>
      <c r="O297" s="1267"/>
      <c r="P297" s="1267"/>
      <c r="Q297" s="1267"/>
      <c r="R297" s="1267"/>
      <c r="T297" s="3" t="s">
        <v>471</v>
      </c>
      <c r="V297" s="3"/>
      <c r="W297" s="3"/>
      <c r="X297" s="3"/>
      <c r="Y297" s="3"/>
      <c r="AA297" s="1267" t="s">
        <v>2684</v>
      </c>
      <c r="AB297" s="1267"/>
      <c r="AC297" s="1267"/>
      <c r="AD297" s="1267"/>
      <c r="AE297" s="1267"/>
      <c r="AF297" s="1267"/>
      <c r="AG297" s="1267"/>
      <c r="AH297" s="1267"/>
      <c r="AI297" s="1267"/>
      <c r="AJ297" s="1267"/>
      <c r="AK297" s="1267"/>
    </row>
    <row r="298" spans="1:51" ht="12.95" customHeight="1">
      <c r="B298" s="3" t="s">
        <v>472</v>
      </c>
      <c r="C298" s="3"/>
      <c r="D298" s="3"/>
      <c r="E298" s="3"/>
      <c r="F298" s="3"/>
      <c r="H298" s="1267" t="s">
        <v>2681</v>
      </c>
      <c r="I298" s="1267"/>
      <c r="J298" s="1267"/>
      <c r="K298" s="1267"/>
      <c r="L298" s="1267"/>
      <c r="M298" s="1267"/>
      <c r="N298" s="1267"/>
      <c r="O298" s="1267"/>
      <c r="P298" s="1267"/>
      <c r="Q298" s="1267"/>
      <c r="R298" s="1267"/>
      <c r="T298" s="3" t="s">
        <v>75</v>
      </c>
      <c r="V298" s="3"/>
      <c r="W298" s="3"/>
      <c r="X298" s="3"/>
      <c r="Y298" s="3"/>
      <c r="AA298" s="1267" t="s">
        <v>2685</v>
      </c>
      <c r="AB298" s="1267"/>
      <c r="AC298" s="1267"/>
      <c r="AD298" s="1267"/>
      <c r="AE298" s="1267"/>
      <c r="AF298" s="1267"/>
      <c r="AG298" s="1267"/>
      <c r="AH298" s="1267"/>
      <c r="AI298" s="1267"/>
      <c r="AJ298" s="1267"/>
      <c r="AK298" s="1267"/>
    </row>
    <row r="299" spans="1:51" ht="12.95" customHeight="1">
      <c r="B299" s="3" t="s">
        <v>87</v>
      </c>
      <c r="C299" s="3"/>
      <c r="D299" s="3"/>
      <c r="E299" s="3"/>
      <c r="F299" s="3"/>
      <c r="H299" s="1267" t="s">
        <v>2682</v>
      </c>
      <c r="I299" s="1267"/>
      <c r="J299" s="1267"/>
      <c r="K299" s="1267"/>
      <c r="L299" s="1267"/>
      <c r="M299" s="1267"/>
      <c r="N299" s="1267"/>
      <c r="O299" s="1267"/>
      <c r="P299" s="1267"/>
      <c r="Q299" s="1267"/>
      <c r="R299" s="1267"/>
      <c r="T299" s="3" t="s">
        <v>87</v>
      </c>
      <c r="V299" s="3"/>
      <c r="W299" s="3"/>
      <c r="X299" s="3"/>
      <c r="Y299" s="3"/>
      <c r="AA299" s="1267" t="s">
        <v>2686</v>
      </c>
      <c r="AB299" s="1267"/>
      <c r="AC299" s="1267"/>
      <c r="AD299" s="1267"/>
      <c r="AE299" s="1267"/>
      <c r="AF299" s="1267"/>
      <c r="AG299" s="1267"/>
      <c r="AH299" s="1267"/>
      <c r="AI299" s="1267"/>
      <c r="AJ299" s="1267"/>
      <c r="AK299" s="1267"/>
    </row>
    <row r="300" spans="1:51" ht="12.95" customHeight="1">
      <c r="B300" s="3" t="s">
        <v>88</v>
      </c>
      <c r="C300" s="3"/>
      <c r="D300" s="3"/>
      <c r="E300" s="3"/>
      <c r="F300" s="3"/>
      <c r="G300" s="3"/>
      <c r="H300" s="1278" t="s">
        <v>2658</v>
      </c>
      <c r="I300" s="1279"/>
      <c r="J300" s="1279"/>
      <c r="K300" s="1279"/>
      <c r="L300" s="1279"/>
      <c r="M300" s="1279"/>
      <c r="N300" s="4" t="s">
        <v>206</v>
      </c>
      <c r="O300" s="4"/>
      <c r="P300" s="1277"/>
      <c r="Q300" s="1277"/>
      <c r="R300" s="1277"/>
      <c r="S300" s="3"/>
      <c r="T300" s="3" t="s">
        <v>88</v>
      </c>
      <c r="V300" s="3"/>
      <c r="W300" s="3"/>
      <c r="X300" s="3"/>
      <c r="Y300" s="3"/>
      <c r="AA300" s="1278" t="s">
        <v>2713</v>
      </c>
      <c r="AB300" s="1279"/>
      <c r="AC300" s="1279"/>
      <c r="AD300" s="1279"/>
      <c r="AE300" s="1279"/>
      <c r="AF300" s="1279"/>
      <c r="AG300" s="4" t="s">
        <v>206</v>
      </c>
      <c r="AH300" s="4"/>
      <c r="AI300" s="1277"/>
      <c r="AJ300" s="1277"/>
      <c r="AK300" s="1277"/>
    </row>
    <row r="301" spans="1:51" ht="12.95" customHeight="1">
      <c r="B301" s="3" t="s">
        <v>89</v>
      </c>
      <c r="C301" s="3"/>
      <c r="D301" s="3"/>
      <c r="E301" s="3"/>
      <c r="F301" s="3"/>
      <c r="G301" s="3"/>
      <c r="H301" s="1274"/>
      <c r="I301" s="1274"/>
      <c r="J301" s="1274"/>
      <c r="K301" s="1274"/>
      <c r="L301" s="1274"/>
      <c r="M301" s="1274"/>
      <c r="N301" s="4"/>
      <c r="O301" s="4"/>
      <c r="P301" s="35"/>
      <c r="Q301" s="35"/>
      <c r="R301" s="35"/>
      <c r="S301" s="3"/>
      <c r="T301" s="3" t="s">
        <v>89</v>
      </c>
      <c r="V301" s="3"/>
      <c r="W301" s="3"/>
      <c r="X301" s="3"/>
      <c r="Y301" s="3"/>
      <c r="AA301" s="1274"/>
      <c r="AB301" s="1274"/>
      <c r="AC301" s="1274"/>
      <c r="AD301" s="1274"/>
      <c r="AE301" s="1274"/>
      <c r="AF301" s="1274"/>
      <c r="AG301" s="4"/>
      <c r="AH301" s="4"/>
      <c r="AI301" s="35"/>
      <c r="AJ301" s="35"/>
      <c r="AK301" s="35"/>
    </row>
    <row r="302" spans="1:51" ht="12.95" customHeight="1">
      <c r="B302" s="3" t="s">
        <v>76</v>
      </c>
      <c r="C302" s="3"/>
      <c r="D302" s="3"/>
      <c r="E302" s="3"/>
      <c r="F302" s="3"/>
      <c r="G302" s="3"/>
      <c r="H302" s="1281" t="s">
        <v>2659</v>
      </c>
      <c r="I302" s="1271"/>
      <c r="J302" s="1271"/>
      <c r="K302" s="1271"/>
      <c r="L302" s="1271"/>
      <c r="M302" s="1271"/>
      <c r="N302" s="1272"/>
      <c r="O302" s="1272"/>
      <c r="P302" s="1272"/>
      <c r="Q302" s="1272"/>
      <c r="R302" s="1272"/>
      <c r="S302" s="3"/>
      <c r="T302" s="3" t="s">
        <v>76</v>
      </c>
      <c r="V302" s="3"/>
      <c r="W302" s="3"/>
      <c r="X302" s="3"/>
      <c r="Y302" s="3"/>
      <c r="AA302" s="1281" t="s">
        <v>2714</v>
      </c>
      <c r="AB302" s="1271"/>
      <c r="AC302" s="1271"/>
      <c r="AD302" s="1271"/>
      <c r="AE302" s="1271"/>
      <c r="AF302" s="1271"/>
      <c r="AG302" s="1272"/>
      <c r="AH302" s="1272"/>
      <c r="AI302" s="1272"/>
      <c r="AJ302" s="1272"/>
      <c r="AK302" s="127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266" t="s">
        <v>2672</v>
      </c>
      <c r="I304" s="1266"/>
      <c r="J304" s="1266"/>
      <c r="K304" s="1266"/>
      <c r="L304" s="1266"/>
      <c r="M304" s="1266"/>
      <c r="N304" s="1266"/>
      <c r="O304" s="1266"/>
      <c r="P304" s="1266"/>
      <c r="Q304" s="1266"/>
      <c r="R304" s="1266"/>
      <c r="T304" s="3" t="s">
        <v>364</v>
      </c>
      <c r="V304" s="3"/>
      <c r="W304" s="3"/>
      <c r="X304" s="3"/>
      <c r="Y304" s="3"/>
      <c r="AA304" s="1272" t="s">
        <v>2778</v>
      </c>
      <c r="AB304" s="1272"/>
      <c r="AC304" s="1272"/>
      <c r="AD304" s="1272"/>
      <c r="AE304" s="1272"/>
      <c r="AF304" s="1272"/>
      <c r="AG304" s="1272"/>
      <c r="AH304" s="1272"/>
      <c r="AI304" s="1272"/>
      <c r="AJ304" s="1272"/>
      <c r="AK304" s="1272"/>
    </row>
    <row r="305" spans="2:72" ht="12.95" customHeight="1">
      <c r="B305" s="3" t="s">
        <v>471</v>
      </c>
      <c r="C305" s="3"/>
      <c r="D305" s="3"/>
      <c r="E305" s="3"/>
      <c r="F305" s="3"/>
      <c r="H305" s="1267" t="s">
        <v>2687</v>
      </c>
      <c r="I305" s="1267"/>
      <c r="J305" s="1267"/>
      <c r="K305" s="1267"/>
      <c r="L305" s="1267"/>
      <c r="M305" s="1267"/>
      <c r="N305" s="1267"/>
      <c r="O305" s="1267"/>
      <c r="P305" s="1267"/>
      <c r="Q305" s="1267"/>
      <c r="R305" s="1267"/>
      <c r="T305" s="3" t="s">
        <v>471</v>
      </c>
      <c r="V305" s="3"/>
      <c r="W305" s="3"/>
      <c r="X305" s="3"/>
      <c r="Y305" s="3"/>
      <c r="AA305" s="1271" t="s">
        <v>2780</v>
      </c>
      <c r="AB305" s="1271"/>
      <c r="AC305" s="1271"/>
      <c r="AD305" s="1271"/>
      <c r="AE305" s="1271"/>
      <c r="AF305" s="1271"/>
      <c r="AG305" s="1271"/>
      <c r="AH305" s="1271"/>
      <c r="AI305" s="1271"/>
      <c r="AJ305" s="1271"/>
      <c r="AK305" s="127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267" t="s">
        <v>2688</v>
      </c>
      <c r="I306" s="1267"/>
      <c r="J306" s="1267"/>
      <c r="K306" s="1267"/>
      <c r="L306" s="1267"/>
      <c r="M306" s="1267"/>
      <c r="N306" s="1267"/>
      <c r="O306" s="1267"/>
      <c r="P306" s="1267"/>
      <c r="Q306" s="1267"/>
      <c r="R306" s="1267"/>
      <c r="T306" s="3" t="s">
        <v>75</v>
      </c>
      <c r="V306" s="3"/>
      <c r="W306" s="3"/>
      <c r="X306" s="3"/>
      <c r="Y306" s="3"/>
      <c r="AA306" s="1271" t="s">
        <v>2781</v>
      </c>
      <c r="AB306" s="1271"/>
      <c r="AC306" s="1271"/>
      <c r="AD306" s="1271"/>
      <c r="AE306" s="1271"/>
      <c r="AF306" s="1271"/>
      <c r="AG306" s="1271"/>
      <c r="AH306" s="1271"/>
      <c r="AI306" s="1271"/>
      <c r="AJ306" s="1271"/>
      <c r="AK306" s="127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267" t="s">
        <v>2689</v>
      </c>
      <c r="I307" s="1267"/>
      <c r="J307" s="1267"/>
      <c r="K307" s="1267"/>
      <c r="L307" s="1267"/>
      <c r="M307" s="1267"/>
      <c r="N307" s="1267"/>
      <c r="O307" s="1267"/>
      <c r="P307" s="1267"/>
      <c r="Q307" s="1267"/>
      <c r="R307" s="1267"/>
      <c r="T307" s="3" t="s">
        <v>87</v>
      </c>
      <c r="V307" s="3"/>
      <c r="W307" s="3"/>
      <c r="X307" s="3"/>
      <c r="Y307" s="3"/>
      <c r="AA307" s="1271" t="s">
        <v>2779</v>
      </c>
      <c r="AB307" s="1271"/>
      <c r="AC307" s="1271"/>
      <c r="AD307" s="1271"/>
      <c r="AE307" s="1271"/>
      <c r="AF307" s="1271"/>
      <c r="AG307" s="1271"/>
      <c r="AH307" s="1271"/>
      <c r="AI307" s="1271"/>
      <c r="AJ307" s="1271"/>
      <c r="AK307" s="1271"/>
    </row>
    <row r="308" spans="2:72" ht="12.95" customHeight="1">
      <c r="B308" s="3" t="s">
        <v>88</v>
      </c>
      <c r="C308" s="3"/>
      <c r="D308" s="3"/>
      <c r="E308" s="3"/>
      <c r="F308" s="3"/>
      <c r="G308" s="3"/>
      <c r="H308" s="1278" t="s">
        <v>2676</v>
      </c>
      <c r="I308" s="1279"/>
      <c r="J308" s="1279"/>
      <c r="K308" s="1279"/>
      <c r="L308" s="1279"/>
      <c r="M308" s="1279"/>
      <c r="N308" s="4" t="s">
        <v>206</v>
      </c>
      <c r="O308" s="4"/>
      <c r="P308" s="1277"/>
      <c r="Q308" s="1277"/>
      <c r="R308" s="1277"/>
      <c r="S308" s="3"/>
      <c r="T308" s="3" t="s">
        <v>88</v>
      </c>
      <c r="V308" s="3"/>
      <c r="W308" s="3"/>
      <c r="X308" s="3"/>
      <c r="Y308" s="3"/>
      <c r="AA308" s="1278" t="s">
        <v>2782</v>
      </c>
      <c r="AB308" s="1279"/>
      <c r="AC308" s="1279"/>
      <c r="AD308" s="1279"/>
      <c r="AE308" s="1279"/>
      <c r="AF308" s="1279"/>
      <c r="AG308" s="4" t="s">
        <v>206</v>
      </c>
      <c r="AH308" s="4"/>
      <c r="AI308" s="1277"/>
      <c r="AJ308" s="1277"/>
      <c r="AK308" s="1277"/>
    </row>
    <row r="309" spans="2:72" ht="12.95" customHeight="1">
      <c r="B309" s="3" t="s">
        <v>89</v>
      </c>
      <c r="C309" s="3"/>
      <c r="D309" s="3"/>
      <c r="E309" s="3"/>
      <c r="F309" s="3"/>
      <c r="G309" s="3"/>
      <c r="H309" s="1274"/>
      <c r="I309" s="1274"/>
      <c r="J309" s="1274"/>
      <c r="K309" s="1274"/>
      <c r="L309" s="1274"/>
      <c r="M309" s="1274"/>
      <c r="N309" s="4"/>
      <c r="O309" s="4"/>
      <c r="P309" s="35"/>
      <c r="Q309" s="35"/>
      <c r="R309" s="35"/>
      <c r="S309" s="3"/>
      <c r="T309" s="3" t="s">
        <v>89</v>
      </c>
      <c r="V309" s="3"/>
      <c r="W309" s="3"/>
      <c r="X309" s="3"/>
      <c r="Y309" s="3"/>
      <c r="AA309" s="1274"/>
      <c r="AB309" s="1274"/>
      <c r="AC309" s="1274"/>
      <c r="AD309" s="1274"/>
      <c r="AE309" s="1274"/>
      <c r="AF309" s="1274"/>
      <c r="AG309" s="4"/>
      <c r="AH309" s="4"/>
      <c r="AI309" s="35"/>
      <c r="AJ309" s="35"/>
      <c r="AK309" s="35"/>
    </row>
    <row r="310" spans="2:72" ht="12.95" customHeight="1">
      <c r="B310" s="3" t="s">
        <v>76</v>
      </c>
      <c r="C310" s="3"/>
      <c r="D310" s="3"/>
      <c r="E310" s="3"/>
      <c r="F310" s="3"/>
      <c r="G310" s="3"/>
      <c r="H310" s="1281" t="s">
        <v>2677</v>
      </c>
      <c r="I310" s="1271"/>
      <c r="J310" s="1271"/>
      <c r="K310" s="1271"/>
      <c r="L310" s="1271"/>
      <c r="M310" s="1271"/>
      <c r="N310" s="1272"/>
      <c r="O310" s="1272"/>
      <c r="P310" s="1272"/>
      <c r="Q310" s="1272"/>
      <c r="R310" s="1272"/>
      <c r="S310" s="3"/>
      <c r="T310" s="3" t="s">
        <v>76</v>
      </c>
      <c r="V310" s="3"/>
      <c r="W310" s="3"/>
      <c r="X310" s="3"/>
      <c r="Y310" s="3"/>
      <c r="AA310" s="1271" t="s">
        <v>2783</v>
      </c>
      <c r="AB310" s="1271"/>
      <c r="AC310" s="1271"/>
      <c r="AD310" s="1271"/>
      <c r="AE310" s="1271"/>
      <c r="AF310" s="1271"/>
      <c r="AG310" s="1272"/>
      <c r="AH310" s="1272"/>
      <c r="AI310" s="1272"/>
      <c r="AJ310" s="1272"/>
      <c r="AK310" s="1272"/>
    </row>
    <row r="311" spans="2:72" ht="12.95" customHeight="1"/>
    <row r="312" spans="2:72" ht="12.95" customHeight="1">
      <c r="B312" s="3" t="s">
        <v>77</v>
      </c>
      <c r="C312" s="3"/>
      <c r="D312" s="3"/>
      <c r="E312" s="3"/>
      <c r="F312" s="3"/>
      <c r="H312" s="1266" t="s">
        <v>2672</v>
      </c>
      <c r="I312" s="1266"/>
      <c r="J312" s="1266"/>
      <c r="K312" s="1266"/>
      <c r="L312" s="1266"/>
      <c r="M312" s="1266"/>
      <c r="N312" s="1266"/>
      <c r="O312" s="1266"/>
      <c r="P312" s="1266"/>
      <c r="Q312" s="1266"/>
      <c r="R312" s="1266"/>
      <c r="T312" s="4" t="s">
        <v>878</v>
      </c>
      <c r="V312" s="3"/>
      <c r="W312" s="3"/>
      <c r="X312" s="3"/>
      <c r="Y312" s="3"/>
      <c r="AA312" s="1272" t="s">
        <v>2766</v>
      </c>
      <c r="AB312" s="1272"/>
      <c r="AC312" s="1272"/>
      <c r="AD312" s="1272"/>
      <c r="AE312" s="1272"/>
      <c r="AF312" s="1272"/>
      <c r="AG312" s="1272"/>
      <c r="AH312" s="1272"/>
      <c r="AI312" s="1272"/>
      <c r="AJ312" s="1272"/>
      <c r="AK312" s="1272"/>
    </row>
    <row r="313" spans="2:72" ht="12.95" customHeight="1">
      <c r="B313" s="3" t="s">
        <v>471</v>
      </c>
      <c r="C313" s="3"/>
      <c r="D313" s="3"/>
      <c r="E313" s="3"/>
      <c r="F313" s="3"/>
      <c r="H313" s="1267" t="s">
        <v>2687</v>
      </c>
      <c r="I313" s="1267"/>
      <c r="J313" s="1267"/>
      <c r="K313" s="1267"/>
      <c r="L313" s="1267"/>
      <c r="M313" s="1267"/>
      <c r="N313" s="1267"/>
      <c r="O313" s="1267"/>
      <c r="P313" s="1267"/>
      <c r="Q313" s="1267"/>
      <c r="R313" s="1267"/>
      <c r="T313" s="3" t="s">
        <v>471</v>
      </c>
      <c r="V313" s="3"/>
      <c r="W313" s="3"/>
      <c r="X313" s="3"/>
      <c r="Y313" s="3"/>
      <c r="AA313" s="1271"/>
      <c r="AB313" s="1271"/>
      <c r="AC313" s="1271"/>
      <c r="AD313" s="1271"/>
      <c r="AE313" s="1271"/>
      <c r="AF313" s="1271"/>
      <c r="AG313" s="1271"/>
      <c r="AH313" s="1271"/>
      <c r="AI313" s="1271"/>
      <c r="AJ313" s="1271"/>
      <c r="AK313" s="1271"/>
    </row>
    <row r="314" spans="2:72" ht="12.95" customHeight="1">
      <c r="B314" s="3" t="s">
        <v>472</v>
      </c>
      <c r="C314" s="3"/>
      <c r="D314" s="3"/>
      <c r="E314" s="3"/>
      <c r="F314" s="3"/>
      <c r="H314" s="1267" t="s">
        <v>2688</v>
      </c>
      <c r="I314" s="1267"/>
      <c r="J314" s="1267"/>
      <c r="K314" s="1267"/>
      <c r="L314" s="1267"/>
      <c r="M314" s="1267"/>
      <c r="N314" s="1267"/>
      <c r="O314" s="1267"/>
      <c r="P314" s="1267"/>
      <c r="Q314" s="1267"/>
      <c r="R314" s="1267"/>
      <c r="T314" s="3" t="s">
        <v>75</v>
      </c>
      <c r="V314" s="3"/>
      <c r="W314" s="3"/>
      <c r="X314" s="3"/>
      <c r="Y314" s="3"/>
      <c r="AA314" s="1271"/>
      <c r="AB314" s="1271"/>
      <c r="AC314" s="1271"/>
      <c r="AD314" s="1271"/>
      <c r="AE314" s="1271"/>
      <c r="AF314" s="1271"/>
      <c r="AG314" s="1271"/>
      <c r="AH314" s="1271"/>
      <c r="AI314" s="1271"/>
      <c r="AJ314" s="1271"/>
      <c r="AK314" s="1271"/>
    </row>
    <row r="315" spans="2:72" ht="12.95" customHeight="1">
      <c r="B315" s="3" t="s">
        <v>87</v>
      </c>
      <c r="C315" s="3"/>
      <c r="D315" s="3"/>
      <c r="E315" s="3"/>
      <c r="F315" s="3"/>
      <c r="H315" s="1267" t="s">
        <v>2689</v>
      </c>
      <c r="I315" s="1267"/>
      <c r="J315" s="1267"/>
      <c r="K315" s="1267"/>
      <c r="L315" s="1267"/>
      <c r="M315" s="1267"/>
      <c r="N315" s="1267"/>
      <c r="O315" s="1267"/>
      <c r="P315" s="1267"/>
      <c r="Q315" s="1267"/>
      <c r="R315" s="1267"/>
      <c r="T315" s="3" t="s">
        <v>87</v>
      </c>
      <c r="V315" s="3"/>
      <c r="W315" s="3"/>
      <c r="X315" s="3"/>
      <c r="Y315" s="3"/>
      <c r="AA315" s="1271"/>
      <c r="AB315" s="1271"/>
      <c r="AC315" s="1271"/>
      <c r="AD315" s="1271"/>
      <c r="AE315" s="1271"/>
      <c r="AF315" s="1271"/>
      <c r="AG315" s="1271"/>
      <c r="AH315" s="1271"/>
      <c r="AI315" s="1271"/>
      <c r="AJ315" s="1271"/>
      <c r="AK315" s="1271"/>
    </row>
    <row r="316" spans="2:72" ht="12.95" customHeight="1">
      <c r="B316" s="3" t="s">
        <v>88</v>
      </c>
      <c r="C316" s="3"/>
      <c r="D316" s="3"/>
      <c r="E316" s="3"/>
      <c r="F316" s="3"/>
      <c r="G316" s="3"/>
      <c r="H316" s="1278" t="s">
        <v>2676</v>
      </c>
      <c r="I316" s="1279"/>
      <c r="J316" s="1279"/>
      <c r="K316" s="1279"/>
      <c r="L316" s="1279"/>
      <c r="M316" s="1279"/>
      <c r="N316" s="4" t="s">
        <v>206</v>
      </c>
      <c r="O316" s="4"/>
      <c r="P316" s="1277"/>
      <c r="Q316" s="1277"/>
      <c r="R316" s="1277"/>
      <c r="S316" s="3"/>
      <c r="T316" s="3" t="s">
        <v>88</v>
      </c>
      <c r="V316" s="3"/>
      <c r="W316" s="3"/>
      <c r="X316" s="3"/>
      <c r="Y316" s="3"/>
      <c r="AA316" s="1279"/>
      <c r="AB316" s="1279"/>
      <c r="AC316" s="1279"/>
      <c r="AD316" s="1279"/>
      <c r="AE316" s="1279"/>
      <c r="AF316" s="1279"/>
      <c r="AG316" s="4" t="s">
        <v>206</v>
      </c>
      <c r="AH316" s="4"/>
      <c r="AI316" s="1277"/>
      <c r="AJ316" s="1277"/>
      <c r="AK316" s="1277"/>
    </row>
    <row r="317" spans="2:72" ht="12.95" customHeight="1">
      <c r="B317" s="3" t="s">
        <v>89</v>
      </c>
      <c r="C317" s="3"/>
      <c r="D317" s="3"/>
      <c r="E317" s="3"/>
      <c r="F317" s="3"/>
      <c r="G317" s="3"/>
      <c r="H317" s="1274"/>
      <c r="I317" s="1274"/>
      <c r="J317" s="1274"/>
      <c r="K317" s="1274"/>
      <c r="L317" s="1274"/>
      <c r="M317" s="1274"/>
      <c r="N317" s="4"/>
      <c r="O317" s="4"/>
      <c r="P317" s="35"/>
      <c r="Q317" s="35"/>
      <c r="R317" s="35"/>
      <c r="S317" s="3"/>
      <c r="T317" s="3" t="s">
        <v>89</v>
      </c>
      <c r="V317" s="3"/>
      <c r="W317" s="3"/>
      <c r="X317" s="3"/>
      <c r="Y317" s="3"/>
      <c r="AA317" s="1274"/>
      <c r="AB317" s="1274"/>
      <c r="AC317" s="1274"/>
      <c r="AD317" s="1274"/>
      <c r="AE317" s="1274"/>
      <c r="AF317" s="1274"/>
      <c r="AG317" s="4"/>
      <c r="AH317" s="4"/>
      <c r="AI317" s="35"/>
      <c r="AJ317" s="35"/>
      <c r="AK317" s="35"/>
    </row>
    <row r="318" spans="2:72" ht="12.95" customHeight="1">
      <c r="B318" s="3" t="s">
        <v>76</v>
      </c>
      <c r="C318" s="3"/>
      <c r="D318" s="3"/>
      <c r="E318" s="3"/>
      <c r="F318" s="3"/>
      <c r="G318" s="3"/>
      <c r="H318" s="1281" t="s">
        <v>2677</v>
      </c>
      <c r="I318" s="1271"/>
      <c r="J318" s="1271"/>
      <c r="K318" s="1271"/>
      <c r="L318" s="1271"/>
      <c r="M318" s="1271"/>
      <c r="N318" s="1272"/>
      <c r="O318" s="1272"/>
      <c r="P318" s="1272"/>
      <c r="Q318" s="1272"/>
      <c r="R318" s="1272"/>
      <c r="S318" s="3"/>
      <c r="T318" s="3" t="s">
        <v>76</v>
      </c>
      <c r="V318" s="3"/>
      <c r="W318" s="3"/>
      <c r="X318" s="3"/>
      <c r="Y318" s="3"/>
      <c r="AA318" s="1271"/>
      <c r="AB318" s="1271"/>
      <c r="AC318" s="1271"/>
      <c r="AD318" s="1271"/>
      <c r="AE318" s="1271"/>
      <c r="AF318" s="1271"/>
      <c r="AG318" s="1272"/>
      <c r="AH318" s="1272"/>
      <c r="AI318" s="1272"/>
      <c r="AJ318" s="1272"/>
      <c r="AK318" s="127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266" t="s">
        <v>2690</v>
      </c>
      <c r="I320" s="1266"/>
      <c r="J320" s="1266"/>
      <c r="K320" s="1266"/>
      <c r="L320" s="1266"/>
      <c r="M320" s="1266"/>
      <c r="N320" s="1266"/>
      <c r="O320" s="1266"/>
      <c r="P320" s="1266"/>
      <c r="Q320" s="1266"/>
      <c r="R320" s="1266"/>
      <c r="S320" s="3"/>
      <c r="T320" s="3" t="s">
        <v>365</v>
      </c>
      <c r="V320" s="3"/>
      <c r="W320" s="3"/>
      <c r="X320" s="3"/>
      <c r="Y320" s="3"/>
      <c r="AA320" s="1266" t="s">
        <v>2698</v>
      </c>
      <c r="AB320" s="1266"/>
      <c r="AC320" s="1266"/>
      <c r="AD320" s="1266"/>
      <c r="AE320" s="1266"/>
      <c r="AF320" s="1266"/>
      <c r="AG320" s="1266"/>
      <c r="AH320" s="1266"/>
      <c r="AI320" s="1266"/>
      <c r="AJ320" s="1266"/>
      <c r="AK320" s="1266"/>
    </row>
    <row r="321" spans="2:37" ht="12.95" customHeight="1">
      <c r="B321" s="3" t="s">
        <v>471</v>
      </c>
      <c r="C321" s="3"/>
      <c r="D321" s="3"/>
      <c r="E321" s="3"/>
      <c r="F321" s="3"/>
      <c r="H321" s="1267" t="s">
        <v>2691</v>
      </c>
      <c r="I321" s="1267"/>
      <c r="J321" s="1267"/>
      <c r="K321" s="1267"/>
      <c r="L321" s="1267"/>
      <c r="M321" s="1267"/>
      <c r="N321" s="1267"/>
      <c r="O321" s="1267"/>
      <c r="P321" s="1267"/>
      <c r="Q321" s="1267"/>
      <c r="R321" s="1267"/>
      <c r="S321" s="3"/>
      <c r="T321" s="3" t="s">
        <v>471</v>
      </c>
      <c r="V321" s="3"/>
      <c r="W321" s="3"/>
      <c r="X321" s="3"/>
      <c r="Y321" s="3"/>
      <c r="AA321" s="1267" t="s">
        <v>2699</v>
      </c>
      <c r="AB321" s="1267"/>
      <c r="AC321" s="1267"/>
      <c r="AD321" s="1267"/>
      <c r="AE321" s="1267"/>
      <c r="AF321" s="1267"/>
      <c r="AG321" s="1267"/>
      <c r="AH321" s="1267"/>
      <c r="AI321" s="1267"/>
      <c r="AJ321" s="1267"/>
      <c r="AK321" s="1267"/>
    </row>
    <row r="322" spans="2:37" ht="12.95" customHeight="1">
      <c r="B322" s="3" t="s">
        <v>472</v>
      </c>
      <c r="C322" s="3"/>
      <c r="D322" s="3"/>
      <c r="E322" s="3"/>
      <c r="F322" s="3"/>
      <c r="H322" s="1267" t="s">
        <v>2692</v>
      </c>
      <c r="I322" s="1267"/>
      <c r="J322" s="1267"/>
      <c r="K322" s="1267"/>
      <c r="L322" s="1267"/>
      <c r="M322" s="1267"/>
      <c r="N322" s="1267"/>
      <c r="O322" s="1267"/>
      <c r="P322" s="1267"/>
      <c r="Q322" s="1267"/>
      <c r="R322" s="1267"/>
      <c r="S322" s="3"/>
      <c r="T322" s="3" t="s">
        <v>75</v>
      </c>
      <c r="V322" s="3"/>
      <c r="W322" s="3"/>
      <c r="X322" s="3"/>
      <c r="Y322" s="3"/>
      <c r="AA322" s="1267" t="s">
        <v>2681</v>
      </c>
      <c r="AB322" s="1267"/>
      <c r="AC322" s="1267"/>
      <c r="AD322" s="1267"/>
      <c r="AE322" s="1267"/>
      <c r="AF322" s="1267"/>
      <c r="AG322" s="1267"/>
      <c r="AH322" s="1267"/>
      <c r="AI322" s="1267"/>
      <c r="AJ322" s="1267"/>
      <c r="AK322" s="1267"/>
    </row>
    <row r="323" spans="2:37" ht="12.95" customHeight="1">
      <c r="B323" s="3" t="s">
        <v>87</v>
      </c>
      <c r="C323" s="3"/>
      <c r="D323" s="3"/>
      <c r="E323" s="3"/>
      <c r="F323" s="3"/>
      <c r="H323" s="1267" t="s">
        <v>2693</v>
      </c>
      <c r="I323" s="1267"/>
      <c r="J323" s="1267"/>
      <c r="K323" s="1267"/>
      <c r="L323" s="1267"/>
      <c r="M323" s="1267"/>
      <c r="N323" s="1267"/>
      <c r="O323" s="1267"/>
      <c r="P323" s="1267"/>
      <c r="Q323" s="1267"/>
      <c r="R323" s="1267"/>
      <c r="S323" s="3"/>
      <c r="T323" s="3" t="s">
        <v>87</v>
      </c>
      <c r="V323" s="3"/>
      <c r="W323" s="3"/>
      <c r="X323" s="3"/>
      <c r="Y323" s="3"/>
      <c r="AA323" s="1267" t="s">
        <v>2700</v>
      </c>
      <c r="AB323" s="1267"/>
      <c r="AC323" s="1267"/>
      <c r="AD323" s="1267"/>
      <c r="AE323" s="1267"/>
      <c r="AF323" s="1267"/>
      <c r="AG323" s="1267"/>
      <c r="AH323" s="1267"/>
      <c r="AI323" s="1267"/>
      <c r="AJ323" s="1267"/>
      <c r="AK323" s="1267"/>
    </row>
    <row r="324" spans="2:37" ht="12.95" customHeight="1">
      <c r="B324" s="3" t="s">
        <v>88</v>
      </c>
      <c r="C324" s="3"/>
      <c r="D324" s="3"/>
      <c r="E324" s="3"/>
      <c r="F324" s="3"/>
      <c r="G324" s="3"/>
      <c r="H324" s="1278" t="s">
        <v>2715</v>
      </c>
      <c r="I324" s="1279"/>
      <c r="J324" s="1279"/>
      <c r="K324" s="1279"/>
      <c r="L324" s="1279"/>
      <c r="M324" s="1279"/>
      <c r="N324" s="4" t="s">
        <v>206</v>
      </c>
      <c r="O324" s="4"/>
      <c r="P324" s="1277"/>
      <c r="Q324" s="1277"/>
      <c r="R324" s="1277"/>
      <c r="S324" s="3"/>
      <c r="T324" s="3" t="s">
        <v>88</v>
      </c>
      <c r="V324" s="3"/>
      <c r="W324" s="3"/>
      <c r="X324" s="3"/>
      <c r="Y324" s="3"/>
      <c r="AA324" s="1278" t="s">
        <v>2716</v>
      </c>
      <c r="AB324" s="1279"/>
      <c r="AC324" s="1279"/>
      <c r="AD324" s="1279"/>
      <c r="AE324" s="1279"/>
      <c r="AF324" s="1279"/>
      <c r="AG324" s="4" t="s">
        <v>206</v>
      </c>
      <c r="AH324" s="4"/>
      <c r="AI324" s="1277"/>
      <c r="AJ324" s="1277"/>
      <c r="AK324" s="1277"/>
    </row>
    <row r="325" spans="2:37" ht="12.95" customHeight="1">
      <c r="B325" s="3" t="s">
        <v>89</v>
      </c>
      <c r="C325" s="3"/>
      <c r="D325" s="3"/>
      <c r="E325" s="3"/>
      <c r="F325" s="3"/>
      <c r="G325" s="3"/>
      <c r="H325" s="1274"/>
      <c r="I325" s="1274"/>
      <c r="J325" s="1274"/>
      <c r="K325" s="1274"/>
      <c r="L325" s="1274"/>
      <c r="M325" s="1274"/>
      <c r="N325" s="4"/>
      <c r="O325" s="4"/>
      <c r="P325" s="35"/>
      <c r="Q325" s="35"/>
      <c r="R325" s="35"/>
      <c r="S325" s="3"/>
      <c r="T325" s="3" t="s">
        <v>89</v>
      </c>
      <c r="V325" s="3"/>
      <c r="W325" s="3"/>
      <c r="X325" s="3"/>
      <c r="Y325" s="3"/>
      <c r="AA325" s="1274"/>
      <c r="AB325" s="1274"/>
      <c r="AC325" s="1274"/>
      <c r="AD325" s="1274"/>
      <c r="AE325" s="1274"/>
      <c r="AF325" s="1274"/>
      <c r="AG325" s="4"/>
      <c r="AH325" s="4"/>
      <c r="AI325" s="35"/>
      <c r="AJ325" s="35"/>
      <c r="AK325" s="35"/>
    </row>
    <row r="326" spans="2:37" ht="12.95" customHeight="1">
      <c r="B326" s="3" t="s">
        <v>76</v>
      </c>
      <c r="C326" s="3"/>
      <c r="D326" s="3"/>
      <c r="E326" s="3"/>
      <c r="F326" s="3"/>
      <c r="G326" s="3"/>
      <c r="H326" s="1271"/>
      <c r="I326" s="1271"/>
      <c r="J326" s="1271"/>
      <c r="K326" s="1271"/>
      <c r="L326" s="1271"/>
      <c r="M326" s="1271"/>
      <c r="N326" s="1272"/>
      <c r="O326" s="1272"/>
      <c r="P326" s="1272"/>
      <c r="Q326" s="1272"/>
      <c r="R326" s="1272"/>
      <c r="S326" s="3"/>
      <c r="T326" s="3" t="s">
        <v>76</v>
      </c>
      <c r="V326" s="3"/>
      <c r="W326" s="3"/>
      <c r="X326" s="3"/>
      <c r="Y326" s="3"/>
      <c r="AA326" s="1281" t="s">
        <v>2717</v>
      </c>
      <c r="AB326" s="1271"/>
      <c r="AC326" s="1271"/>
      <c r="AD326" s="1271"/>
      <c r="AE326" s="1271"/>
      <c r="AF326" s="1271"/>
      <c r="AG326" s="1272"/>
      <c r="AH326" s="1272"/>
      <c r="AI326" s="1272"/>
      <c r="AJ326" s="1272"/>
      <c r="AK326" s="1272"/>
    </row>
    <row r="327" spans="2:37" ht="12.95" customHeight="1"/>
    <row r="328" spans="2:37" ht="12.95" customHeight="1">
      <c r="B328" s="4" t="s">
        <v>908</v>
      </c>
      <c r="C328" s="3"/>
      <c r="D328" s="3"/>
      <c r="E328" s="3"/>
      <c r="F328" s="3"/>
      <c r="H328" s="1266" t="s">
        <v>2672</v>
      </c>
      <c r="I328" s="1266"/>
      <c r="J328" s="1266"/>
      <c r="K328" s="1266"/>
      <c r="L328" s="1266"/>
      <c r="M328" s="1266"/>
      <c r="N328" s="1266"/>
      <c r="O328" s="1266"/>
      <c r="P328" s="1266"/>
      <c r="Q328" s="1266"/>
      <c r="R328" s="1266"/>
      <c r="T328" s="3" t="s">
        <v>366</v>
      </c>
      <c r="V328" s="3"/>
      <c r="W328" s="3"/>
      <c r="X328" s="3"/>
      <c r="Y328" s="3"/>
      <c r="AA328" s="1266" t="s">
        <v>2694</v>
      </c>
      <c r="AB328" s="1266"/>
      <c r="AC328" s="1266"/>
      <c r="AD328" s="1266"/>
      <c r="AE328" s="1266"/>
      <c r="AF328" s="1266"/>
      <c r="AG328" s="1266"/>
      <c r="AH328" s="1266"/>
      <c r="AI328" s="1266"/>
      <c r="AJ328" s="1266"/>
      <c r="AK328" s="1266"/>
    </row>
    <row r="329" spans="2:37" ht="12.95" customHeight="1">
      <c r="B329" s="3" t="s">
        <v>471</v>
      </c>
      <c r="C329" s="3"/>
      <c r="D329" s="3"/>
      <c r="E329" s="3"/>
      <c r="F329" s="3"/>
      <c r="H329" s="1267" t="s">
        <v>2687</v>
      </c>
      <c r="I329" s="1267"/>
      <c r="J329" s="1267"/>
      <c r="K329" s="1267"/>
      <c r="L329" s="1267"/>
      <c r="M329" s="1267"/>
      <c r="N329" s="1267"/>
      <c r="O329" s="1267"/>
      <c r="P329" s="1267"/>
      <c r="Q329" s="1267"/>
      <c r="R329" s="1267"/>
      <c r="T329" s="3" t="s">
        <v>471</v>
      </c>
      <c r="V329" s="3"/>
      <c r="W329" s="3"/>
      <c r="X329" s="3"/>
      <c r="Y329" s="3"/>
      <c r="AA329" s="1267" t="s">
        <v>2695</v>
      </c>
      <c r="AB329" s="1267"/>
      <c r="AC329" s="1267"/>
      <c r="AD329" s="1267"/>
      <c r="AE329" s="1267"/>
      <c r="AF329" s="1267"/>
      <c r="AG329" s="1267"/>
      <c r="AH329" s="1267"/>
      <c r="AI329" s="1267"/>
      <c r="AJ329" s="1267"/>
      <c r="AK329" s="1267"/>
    </row>
    <row r="330" spans="2:37" ht="12.95" customHeight="1">
      <c r="B330" s="3" t="s">
        <v>472</v>
      </c>
      <c r="C330" s="3"/>
      <c r="D330" s="3"/>
      <c r="E330" s="3"/>
      <c r="F330" s="3"/>
      <c r="H330" s="1267" t="s">
        <v>2688</v>
      </c>
      <c r="I330" s="1267"/>
      <c r="J330" s="1267"/>
      <c r="K330" s="1267"/>
      <c r="L330" s="1267"/>
      <c r="M330" s="1267"/>
      <c r="N330" s="1267"/>
      <c r="O330" s="1267"/>
      <c r="P330" s="1267"/>
      <c r="Q330" s="1267"/>
      <c r="R330" s="1267"/>
      <c r="T330" s="3" t="s">
        <v>75</v>
      </c>
      <c r="V330" s="3"/>
      <c r="W330" s="3"/>
      <c r="X330" s="3"/>
      <c r="Y330" s="3"/>
      <c r="AA330" s="1267" t="s">
        <v>2696</v>
      </c>
      <c r="AB330" s="1267"/>
      <c r="AC330" s="1267"/>
      <c r="AD330" s="1267"/>
      <c r="AE330" s="1267"/>
      <c r="AF330" s="1267"/>
      <c r="AG330" s="1267"/>
      <c r="AH330" s="1267"/>
      <c r="AI330" s="1267"/>
      <c r="AJ330" s="1267"/>
      <c r="AK330" s="1267"/>
    </row>
    <row r="331" spans="2:37" ht="12.95" customHeight="1">
      <c r="B331" s="3" t="s">
        <v>87</v>
      </c>
      <c r="C331" s="3"/>
      <c r="D331" s="3"/>
      <c r="E331" s="3"/>
      <c r="F331" s="3"/>
      <c r="H331" s="1267" t="s">
        <v>2689</v>
      </c>
      <c r="I331" s="1267"/>
      <c r="J331" s="1267"/>
      <c r="K331" s="1267"/>
      <c r="L331" s="1267"/>
      <c r="M331" s="1267"/>
      <c r="N331" s="1267"/>
      <c r="O331" s="1267"/>
      <c r="P331" s="1267"/>
      <c r="Q331" s="1267"/>
      <c r="R331" s="1267"/>
      <c r="T331" s="3" t="s">
        <v>87</v>
      </c>
      <c r="V331" s="3"/>
      <c r="W331" s="3"/>
      <c r="X331" s="3"/>
      <c r="Y331" s="3"/>
      <c r="AA331" s="1267" t="s">
        <v>2697</v>
      </c>
      <c r="AB331" s="1267"/>
      <c r="AC331" s="1267"/>
      <c r="AD331" s="1267"/>
      <c r="AE331" s="1267"/>
      <c r="AF331" s="1267"/>
      <c r="AG331" s="1267"/>
      <c r="AH331" s="1267"/>
      <c r="AI331" s="1267"/>
      <c r="AJ331" s="1267"/>
      <c r="AK331" s="1267"/>
    </row>
    <row r="332" spans="2:37" ht="12.95" customHeight="1">
      <c r="B332" s="3" t="s">
        <v>88</v>
      </c>
      <c r="C332" s="3"/>
      <c r="D332" s="3"/>
      <c r="E332" s="3"/>
      <c r="F332" s="3"/>
      <c r="G332" s="3"/>
      <c r="H332" s="1278" t="s">
        <v>2676</v>
      </c>
      <c r="I332" s="1279"/>
      <c r="J332" s="1279"/>
      <c r="K332" s="1279"/>
      <c r="L332" s="1279"/>
      <c r="M332" s="1279"/>
      <c r="N332" s="4" t="s">
        <v>206</v>
      </c>
      <c r="O332" s="4"/>
      <c r="P332" s="1277"/>
      <c r="Q332" s="1277"/>
      <c r="R332" s="1277"/>
      <c r="S332" s="3"/>
      <c r="T332" s="3" t="s">
        <v>88</v>
      </c>
      <c r="V332" s="3"/>
      <c r="W332" s="3"/>
      <c r="X332" s="3"/>
      <c r="Y332" s="3"/>
      <c r="AA332" s="1278" t="s">
        <v>2718</v>
      </c>
      <c r="AB332" s="1279"/>
      <c r="AC332" s="1279"/>
      <c r="AD332" s="1279"/>
      <c r="AE332" s="1279"/>
      <c r="AF332" s="1279"/>
      <c r="AG332" s="4" t="s">
        <v>206</v>
      </c>
      <c r="AH332" s="4"/>
      <c r="AI332" s="1277"/>
      <c r="AJ332" s="1277"/>
      <c r="AK332" s="1277"/>
    </row>
    <row r="333" spans="2:37" ht="12.95" customHeight="1">
      <c r="B333" s="3" t="s">
        <v>89</v>
      </c>
      <c r="C333" s="3"/>
      <c r="D333" s="3"/>
      <c r="E333" s="3"/>
      <c r="F333" s="3"/>
      <c r="G333" s="3"/>
      <c r="H333" s="1274"/>
      <c r="I333" s="1274"/>
      <c r="J333" s="1274"/>
      <c r="K333" s="1274"/>
      <c r="L333" s="1274"/>
      <c r="M333" s="1274"/>
      <c r="N333" s="4"/>
      <c r="O333" s="4"/>
      <c r="P333" s="35"/>
      <c r="Q333" s="35"/>
      <c r="R333" s="35"/>
      <c r="S333" s="3"/>
      <c r="T333" s="3" t="s">
        <v>89</v>
      </c>
      <c r="V333" s="3"/>
      <c r="W333" s="3"/>
      <c r="X333" s="3"/>
      <c r="Y333" s="3"/>
      <c r="AA333" s="1274"/>
      <c r="AB333" s="1274"/>
      <c r="AC333" s="1274"/>
      <c r="AD333" s="1274"/>
      <c r="AE333" s="1274"/>
      <c r="AF333" s="1274"/>
      <c r="AG333" s="4"/>
      <c r="AH333" s="4"/>
      <c r="AI333" s="35"/>
      <c r="AJ333" s="35"/>
      <c r="AK333" s="35"/>
    </row>
    <row r="334" spans="2:37" ht="12.95" customHeight="1">
      <c r="B334" s="3" t="s">
        <v>76</v>
      </c>
      <c r="C334" s="3"/>
      <c r="D334" s="3"/>
      <c r="E334" s="3"/>
      <c r="F334" s="3"/>
      <c r="G334" s="3"/>
      <c r="H334" s="1281" t="s">
        <v>2677</v>
      </c>
      <c r="I334" s="1271"/>
      <c r="J334" s="1271"/>
      <c r="K334" s="1271"/>
      <c r="L334" s="1271"/>
      <c r="M334" s="1271"/>
      <c r="N334" s="1272"/>
      <c r="O334" s="1272"/>
      <c r="P334" s="1272"/>
      <c r="Q334" s="1272"/>
      <c r="R334" s="1272"/>
      <c r="S334" s="3"/>
      <c r="T334" s="3" t="s">
        <v>76</v>
      </c>
      <c r="V334" s="3"/>
      <c r="W334" s="3"/>
      <c r="X334" s="3"/>
      <c r="Y334" s="3"/>
      <c r="AA334" s="1281" t="s">
        <v>2719</v>
      </c>
      <c r="AB334" s="1271"/>
      <c r="AC334" s="1271"/>
      <c r="AD334" s="1271"/>
      <c r="AE334" s="1271"/>
      <c r="AF334" s="1271"/>
      <c r="AG334" s="1272"/>
      <c r="AH334" s="1272"/>
      <c r="AI334" s="1272"/>
      <c r="AJ334" s="1272"/>
      <c r="AK334" s="127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266" t="s">
        <v>2694</v>
      </c>
      <c r="I336" s="1266"/>
      <c r="J336" s="1266"/>
      <c r="K336" s="1266"/>
      <c r="L336" s="1266"/>
      <c r="M336" s="1266"/>
      <c r="N336" s="1266"/>
      <c r="O336" s="1266"/>
      <c r="P336" s="1266"/>
      <c r="Q336" s="1266"/>
      <c r="R336" s="1266"/>
      <c r="T336" s="3" t="s">
        <v>368</v>
      </c>
      <c r="V336" s="3"/>
      <c r="W336" s="3"/>
      <c r="X336" s="3"/>
      <c r="Y336" s="3"/>
      <c r="AA336" s="1266" t="s">
        <v>2701</v>
      </c>
      <c r="AB336" s="1266"/>
      <c r="AC336" s="1266"/>
      <c r="AD336" s="1266"/>
      <c r="AE336" s="1266"/>
      <c r="AF336" s="1266"/>
      <c r="AG336" s="1266"/>
      <c r="AH336" s="1266"/>
      <c r="AI336" s="1266"/>
      <c r="AJ336" s="1266"/>
      <c r="AK336" s="1266"/>
    </row>
    <row r="337" spans="2:66" ht="12.95" customHeight="1">
      <c r="B337" s="3" t="s">
        <v>471</v>
      </c>
      <c r="C337" s="3"/>
      <c r="D337" s="3"/>
      <c r="E337" s="3"/>
      <c r="F337" s="3"/>
      <c r="H337" s="1267" t="s">
        <v>2695</v>
      </c>
      <c r="I337" s="1267"/>
      <c r="J337" s="1267"/>
      <c r="K337" s="1267"/>
      <c r="L337" s="1267"/>
      <c r="M337" s="1267"/>
      <c r="N337" s="1267"/>
      <c r="O337" s="1267"/>
      <c r="P337" s="1267"/>
      <c r="Q337" s="1267"/>
      <c r="R337" s="1267"/>
      <c r="T337" s="3" t="s">
        <v>471</v>
      </c>
      <c r="V337" s="3"/>
      <c r="W337" s="3"/>
      <c r="X337" s="3"/>
      <c r="Y337" s="3"/>
      <c r="AA337" s="1267" t="s">
        <v>2702</v>
      </c>
      <c r="AB337" s="1267"/>
      <c r="AC337" s="1267"/>
      <c r="AD337" s="1267"/>
      <c r="AE337" s="1267"/>
      <c r="AF337" s="1267"/>
      <c r="AG337" s="1267"/>
      <c r="AH337" s="1267"/>
      <c r="AI337" s="1267"/>
      <c r="AJ337" s="1267"/>
      <c r="AK337" s="1267"/>
    </row>
    <row r="338" spans="2:66" ht="12.95" customHeight="1">
      <c r="B338" s="3" t="s">
        <v>472</v>
      </c>
      <c r="C338" s="3"/>
      <c r="D338" s="3"/>
      <c r="E338" s="3"/>
      <c r="F338" s="3"/>
      <c r="H338" s="1267" t="s">
        <v>2696</v>
      </c>
      <c r="I338" s="1267"/>
      <c r="J338" s="1267"/>
      <c r="K338" s="1267"/>
      <c r="L338" s="1267"/>
      <c r="M338" s="1267"/>
      <c r="N338" s="1267"/>
      <c r="O338" s="1267"/>
      <c r="P338" s="1267"/>
      <c r="Q338" s="1267"/>
      <c r="R338" s="1267"/>
      <c r="T338" s="3" t="s">
        <v>75</v>
      </c>
      <c r="V338" s="3"/>
      <c r="W338" s="3"/>
      <c r="X338" s="3"/>
      <c r="Y338" s="3"/>
      <c r="AA338" s="1267" t="s">
        <v>2703</v>
      </c>
      <c r="AB338" s="1267"/>
      <c r="AC338" s="1267"/>
      <c r="AD338" s="1267"/>
      <c r="AE338" s="1267"/>
      <c r="AF338" s="1267"/>
      <c r="AG338" s="1267"/>
      <c r="AH338" s="1267"/>
      <c r="AI338" s="1267"/>
      <c r="AJ338" s="1267"/>
      <c r="AK338" s="1267"/>
    </row>
    <row r="339" spans="2:66" ht="12.95" customHeight="1">
      <c r="B339" s="3" t="s">
        <v>87</v>
      </c>
      <c r="C339" s="3"/>
      <c r="D339" s="3"/>
      <c r="E339" s="3"/>
      <c r="F339" s="3"/>
      <c r="H339" s="1267" t="s">
        <v>2697</v>
      </c>
      <c r="I339" s="1267"/>
      <c r="J339" s="1267"/>
      <c r="K339" s="1267"/>
      <c r="L339" s="1267"/>
      <c r="M339" s="1267"/>
      <c r="N339" s="1267"/>
      <c r="O339" s="1267"/>
      <c r="P339" s="1267"/>
      <c r="Q339" s="1267"/>
      <c r="R339" s="1267"/>
      <c r="T339" s="3" t="s">
        <v>87</v>
      </c>
      <c r="V339" s="3"/>
      <c r="W339" s="3"/>
      <c r="X339" s="3"/>
      <c r="Y339" s="3"/>
      <c r="AA339" s="1267" t="s">
        <v>2704</v>
      </c>
      <c r="AB339" s="1267"/>
      <c r="AC339" s="1267"/>
      <c r="AD339" s="1267"/>
      <c r="AE339" s="1267"/>
      <c r="AF339" s="1267"/>
      <c r="AG339" s="1267"/>
      <c r="AH339" s="1267"/>
      <c r="AI339" s="1267"/>
      <c r="AJ339" s="1267"/>
      <c r="AK339" s="1267"/>
    </row>
    <row r="340" spans="2:66" ht="12.95" customHeight="1">
      <c r="B340" s="3" t="s">
        <v>88</v>
      </c>
      <c r="C340" s="3"/>
      <c r="D340" s="3"/>
      <c r="E340" s="3"/>
      <c r="F340" s="3"/>
      <c r="G340" s="3"/>
      <c r="H340" s="1278" t="s">
        <v>2718</v>
      </c>
      <c r="I340" s="1279"/>
      <c r="J340" s="1279"/>
      <c r="K340" s="1279"/>
      <c r="L340" s="1279"/>
      <c r="M340" s="1279"/>
      <c r="N340" s="4" t="s">
        <v>206</v>
      </c>
      <c r="O340" s="4"/>
      <c r="P340" s="1277"/>
      <c r="Q340" s="1277"/>
      <c r="R340" s="1277"/>
      <c r="S340" s="3"/>
      <c r="T340" s="3" t="s">
        <v>88</v>
      </c>
      <c r="V340" s="3"/>
      <c r="W340" s="3"/>
      <c r="X340" s="3"/>
      <c r="Y340" s="3"/>
      <c r="AA340" s="1278" t="s">
        <v>2720</v>
      </c>
      <c r="AB340" s="1279"/>
      <c r="AC340" s="1279"/>
      <c r="AD340" s="1279"/>
      <c r="AE340" s="1279"/>
      <c r="AF340" s="1279"/>
      <c r="AG340" s="4" t="s">
        <v>206</v>
      </c>
      <c r="AH340" s="4"/>
      <c r="AI340" s="1277"/>
      <c r="AJ340" s="1277"/>
      <c r="AK340" s="1277"/>
    </row>
    <row r="341" spans="2:66" ht="12.95" customHeight="1">
      <c r="B341" s="3" t="s">
        <v>89</v>
      </c>
      <c r="C341" s="3"/>
      <c r="D341" s="3"/>
      <c r="E341" s="3"/>
      <c r="F341" s="3"/>
      <c r="G341" s="3"/>
      <c r="H341" s="1274"/>
      <c r="I341" s="1274"/>
      <c r="J341" s="1274"/>
      <c r="K341" s="1274"/>
      <c r="L341" s="1274"/>
      <c r="M341" s="1274"/>
      <c r="N341" s="4"/>
      <c r="O341" s="4"/>
      <c r="P341" s="35"/>
      <c r="Q341" s="35"/>
      <c r="R341" s="35"/>
      <c r="S341" s="3"/>
      <c r="T341" s="3" t="s">
        <v>89</v>
      </c>
      <c r="V341" s="3"/>
      <c r="W341" s="3"/>
      <c r="X341" s="3"/>
      <c r="Y341" s="3"/>
      <c r="AA341" s="1280" t="s">
        <v>2721</v>
      </c>
      <c r="AB341" s="1274"/>
      <c r="AC341" s="1274"/>
      <c r="AD341" s="1274"/>
      <c r="AE341" s="1274"/>
      <c r="AF341" s="1274"/>
      <c r="AG341" s="4"/>
      <c r="AH341" s="4"/>
      <c r="AI341" s="35"/>
      <c r="AJ341" s="35"/>
      <c r="AK341" s="35"/>
    </row>
    <row r="342" spans="2:66" ht="12.95" customHeight="1">
      <c r="B342" s="3" t="s">
        <v>76</v>
      </c>
      <c r="C342" s="3"/>
      <c r="D342" s="3"/>
      <c r="E342" s="3"/>
      <c r="F342" s="3"/>
      <c r="G342" s="3"/>
      <c r="H342" s="1281" t="s">
        <v>2719</v>
      </c>
      <c r="I342" s="1271"/>
      <c r="J342" s="1271"/>
      <c r="K342" s="1271"/>
      <c r="L342" s="1271"/>
      <c r="M342" s="1271"/>
      <c r="N342" s="1272"/>
      <c r="O342" s="1272"/>
      <c r="P342" s="1272"/>
      <c r="Q342" s="1272"/>
      <c r="R342" s="1272"/>
      <c r="S342" s="3"/>
      <c r="T342" s="3" t="s">
        <v>76</v>
      </c>
      <c r="V342" s="3"/>
      <c r="W342" s="3"/>
      <c r="X342" s="3"/>
      <c r="Y342" s="3"/>
      <c r="AA342" s="1281" t="s">
        <v>2719</v>
      </c>
      <c r="AB342" s="1271"/>
      <c r="AC342" s="1271"/>
      <c r="AD342" s="1271"/>
      <c r="AE342" s="1271"/>
      <c r="AF342" s="1271"/>
      <c r="AG342" s="1272"/>
      <c r="AH342" s="1272"/>
      <c r="AI342" s="1272"/>
      <c r="AJ342" s="1272"/>
      <c r="AK342" s="127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266" t="s">
        <v>2705</v>
      </c>
      <c r="I344" s="1266"/>
      <c r="J344" s="1266"/>
      <c r="K344" s="1266"/>
      <c r="L344" s="1266"/>
      <c r="M344" s="1266"/>
      <c r="N344" s="1266"/>
      <c r="O344" s="1266"/>
      <c r="P344" s="1266"/>
      <c r="Q344" s="1266"/>
      <c r="R344" s="1266"/>
      <c r="T344" s="204" t="s">
        <v>886</v>
      </c>
      <c r="V344" s="3"/>
      <c r="W344" s="3"/>
      <c r="X344" s="3"/>
      <c r="Y344" s="3"/>
      <c r="AA344" s="1266" t="s">
        <v>2709</v>
      </c>
      <c r="AB344" s="1266"/>
      <c r="AC344" s="1266"/>
      <c r="AD344" s="1266"/>
      <c r="AE344" s="1266"/>
      <c r="AF344" s="1266"/>
      <c r="AG344" s="1266"/>
      <c r="AH344" s="1266"/>
      <c r="AI344" s="1266"/>
      <c r="AJ344" s="1266"/>
      <c r="AK344" s="1266"/>
    </row>
    <row r="345" spans="2:66" ht="12.95" customHeight="1">
      <c r="B345" s="3" t="s">
        <v>471</v>
      </c>
      <c r="C345" s="3"/>
      <c r="D345" s="3"/>
      <c r="E345" s="3"/>
      <c r="F345" s="3"/>
      <c r="H345" s="1267" t="s">
        <v>2706</v>
      </c>
      <c r="I345" s="1267"/>
      <c r="J345" s="1267"/>
      <c r="K345" s="1267"/>
      <c r="L345" s="1267"/>
      <c r="M345" s="1267"/>
      <c r="N345" s="1267"/>
      <c r="O345" s="1267"/>
      <c r="P345" s="1267"/>
      <c r="Q345" s="1267"/>
      <c r="R345" s="1267"/>
      <c r="T345" s="3" t="s">
        <v>471</v>
      </c>
      <c r="V345" s="3"/>
      <c r="W345" s="3"/>
      <c r="X345" s="3"/>
      <c r="Y345" s="3"/>
      <c r="AA345" s="1267" t="s">
        <v>2710</v>
      </c>
      <c r="AB345" s="1267"/>
      <c r="AC345" s="1267"/>
      <c r="AD345" s="1267"/>
      <c r="AE345" s="1267"/>
      <c r="AF345" s="1267"/>
      <c r="AG345" s="1267"/>
      <c r="AH345" s="1267"/>
      <c r="AI345" s="1267"/>
      <c r="AJ345" s="1267"/>
      <c r="AK345" s="1267"/>
    </row>
    <row r="346" spans="2:66" ht="12.95" customHeight="1">
      <c r="B346" s="3" t="s">
        <v>75</v>
      </c>
      <c r="C346" s="3"/>
      <c r="D346" s="3"/>
      <c r="E346" s="3"/>
      <c r="F346" s="3"/>
      <c r="H346" s="1267" t="s">
        <v>2707</v>
      </c>
      <c r="I346" s="1267"/>
      <c r="J346" s="1267"/>
      <c r="K346" s="1267"/>
      <c r="L346" s="1267"/>
      <c r="M346" s="1267"/>
      <c r="N346" s="1267"/>
      <c r="O346" s="1267"/>
      <c r="P346" s="1267"/>
      <c r="Q346" s="1267"/>
      <c r="R346" s="1267"/>
      <c r="T346" s="3" t="s">
        <v>75</v>
      </c>
      <c r="V346" s="3"/>
      <c r="W346" s="3"/>
      <c r="X346" s="3"/>
      <c r="Y346" s="3"/>
      <c r="AA346" s="1267" t="s">
        <v>2711</v>
      </c>
      <c r="AB346" s="1267"/>
      <c r="AC346" s="1267"/>
      <c r="AD346" s="1267"/>
      <c r="AE346" s="1267"/>
      <c r="AF346" s="1267"/>
      <c r="AG346" s="1267"/>
      <c r="AH346" s="1267"/>
      <c r="AI346" s="1267"/>
      <c r="AJ346" s="1267"/>
      <c r="AK346" s="1267"/>
    </row>
    <row r="347" spans="2:66" ht="12.95" customHeight="1">
      <c r="B347" s="3" t="s">
        <v>87</v>
      </c>
      <c r="C347" s="3"/>
      <c r="D347" s="3"/>
      <c r="E347" s="3"/>
      <c r="F347" s="3"/>
      <c r="G347" s="3"/>
      <c r="H347" s="1267" t="s">
        <v>2708</v>
      </c>
      <c r="I347" s="1267"/>
      <c r="J347" s="1267"/>
      <c r="K347" s="1267"/>
      <c r="L347" s="1267"/>
      <c r="M347" s="1267"/>
      <c r="N347" s="1267"/>
      <c r="O347" s="1267"/>
      <c r="P347" s="1267"/>
      <c r="Q347" s="1267"/>
      <c r="R347" s="1267"/>
      <c r="T347" s="3" t="s">
        <v>87</v>
      </c>
      <c r="V347" s="3"/>
      <c r="W347" s="3"/>
      <c r="X347" s="3"/>
      <c r="Y347" s="3"/>
      <c r="AA347" s="1267" t="s">
        <v>2712</v>
      </c>
      <c r="AB347" s="1267"/>
      <c r="AC347" s="1267"/>
      <c r="AD347" s="1267"/>
      <c r="AE347" s="1267"/>
      <c r="AF347" s="1267"/>
      <c r="AG347" s="1267"/>
      <c r="AH347" s="1267"/>
      <c r="AI347" s="1267"/>
      <c r="AJ347" s="1267"/>
      <c r="AK347" s="1267"/>
    </row>
    <row r="348" spans="2:66" ht="12.95" customHeight="1">
      <c r="B348" s="3" t="s">
        <v>88</v>
      </c>
      <c r="C348" s="3"/>
      <c r="D348" s="3"/>
      <c r="E348" s="3"/>
      <c r="F348" s="3"/>
      <c r="G348" s="3"/>
      <c r="H348" s="1278" t="s">
        <v>2722</v>
      </c>
      <c r="I348" s="1279"/>
      <c r="J348" s="1279"/>
      <c r="K348" s="1279"/>
      <c r="L348" s="1279"/>
      <c r="M348" s="1279"/>
      <c r="N348" s="4" t="s">
        <v>206</v>
      </c>
      <c r="O348" s="4"/>
      <c r="P348" s="1277"/>
      <c r="Q348" s="1277"/>
      <c r="R348" s="1277"/>
      <c r="S348" s="3"/>
      <c r="T348" s="3" t="s">
        <v>88</v>
      </c>
      <c r="V348" s="3"/>
      <c r="W348" s="3"/>
      <c r="X348" s="3"/>
      <c r="Y348" s="3"/>
      <c r="AA348" s="1278" t="s">
        <v>2723</v>
      </c>
      <c r="AB348" s="1279"/>
      <c r="AC348" s="1279"/>
      <c r="AD348" s="1279"/>
      <c r="AE348" s="1279"/>
      <c r="AF348" s="1279"/>
      <c r="AG348" s="4" t="s">
        <v>206</v>
      </c>
      <c r="AH348" s="4"/>
      <c r="AI348" s="1277"/>
      <c r="AJ348" s="1277"/>
      <c r="AK348" s="1277"/>
    </row>
    <row r="349" spans="2:66" ht="12.95" customHeight="1">
      <c r="B349" s="3" t="s">
        <v>89</v>
      </c>
      <c r="C349" s="3"/>
      <c r="D349" s="3"/>
      <c r="E349" s="3"/>
      <c r="F349" s="3"/>
      <c r="G349" s="3"/>
      <c r="H349" s="1274"/>
      <c r="I349" s="1274"/>
      <c r="J349" s="1274"/>
      <c r="K349" s="1274"/>
      <c r="L349" s="1274"/>
      <c r="M349" s="1274"/>
      <c r="N349" s="4"/>
      <c r="O349" s="4"/>
      <c r="P349" s="35"/>
      <c r="Q349" s="35"/>
      <c r="R349" s="35"/>
      <c r="S349" s="3"/>
      <c r="T349" s="3" t="s">
        <v>89</v>
      </c>
      <c r="V349" s="3"/>
      <c r="W349" s="3"/>
      <c r="X349" s="3"/>
      <c r="Y349" s="3"/>
      <c r="AA349" s="1280" t="s">
        <v>2724</v>
      </c>
      <c r="AB349" s="1274"/>
      <c r="AC349" s="1274"/>
      <c r="AD349" s="1274"/>
      <c r="AE349" s="1274"/>
      <c r="AF349" s="1274"/>
      <c r="AG349" s="4"/>
      <c r="AH349" s="4"/>
      <c r="AI349" s="35"/>
      <c r="AJ349" s="35"/>
      <c r="AK349" s="35"/>
    </row>
    <row r="350" spans="2:66" ht="12.95" customHeight="1">
      <c r="B350" s="3" t="s">
        <v>76</v>
      </c>
      <c r="C350" s="3"/>
      <c r="D350" s="3"/>
      <c r="E350" s="3"/>
      <c r="F350" s="3"/>
      <c r="G350" s="3"/>
      <c r="H350" s="1281" t="s">
        <v>2725</v>
      </c>
      <c r="I350" s="1271"/>
      <c r="J350" s="1271"/>
      <c r="K350" s="1271"/>
      <c r="L350" s="1271"/>
      <c r="M350" s="1271"/>
      <c r="N350" s="1272"/>
      <c r="O350" s="1272"/>
      <c r="P350" s="1272"/>
      <c r="Q350" s="1272"/>
      <c r="R350" s="1272"/>
      <c r="S350" s="3"/>
      <c r="T350" s="3" t="s">
        <v>76</v>
      </c>
      <c r="V350" s="3"/>
      <c r="W350" s="3"/>
      <c r="X350" s="3"/>
      <c r="Y350" s="3"/>
      <c r="AA350" s="1271"/>
      <c r="AB350" s="1271"/>
      <c r="AC350" s="1271"/>
      <c r="AD350" s="1271"/>
      <c r="AE350" s="1271"/>
      <c r="AF350" s="1271"/>
      <c r="AG350" s="1272"/>
      <c r="AH350" s="1272"/>
      <c r="AI350" s="1272"/>
      <c r="AJ350" s="1272"/>
      <c r="AK350" s="127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48"/>
      <c r="Q352" s="1272"/>
      <c r="R352" s="1272"/>
      <c r="S352" s="1272"/>
      <c r="T352" s="1272"/>
      <c r="U352" s="1272"/>
      <c r="V352" s="1272"/>
      <c r="W352" s="1272"/>
      <c r="X352" s="1272"/>
      <c r="Y352" s="1272"/>
      <c r="Z352" s="1272"/>
      <c r="AA352" s="1272"/>
      <c r="AB352" s="1272"/>
      <c r="AC352" s="1272"/>
      <c r="AD352" s="1272"/>
      <c r="AE352" s="1272"/>
      <c r="BN352" t="s">
        <v>669</v>
      </c>
    </row>
    <row r="353" spans="1:66" ht="12.95" customHeight="1">
      <c r="B353" s="4"/>
      <c r="C353" s="4"/>
      <c r="D353" s="4"/>
      <c r="E353" s="4"/>
      <c r="F353" s="4"/>
      <c r="I353" s="4" t="s">
        <v>471</v>
      </c>
      <c r="P353" s="1271"/>
      <c r="Q353" s="1271"/>
      <c r="R353" s="1271"/>
      <c r="S353" s="1271"/>
      <c r="T353" s="1271"/>
      <c r="U353" s="1271"/>
      <c r="V353" s="1271"/>
      <c r="W353" s="1271"/>
      <c r="X353" s="1271"/>
      <c r="Y353" s="1271"/>
      <c r="Z353" s="1271"/>
      <c r="AA353" s="1271"/>
      <c r="AB353" s="1271"/>
      <c r="AC353" s="1271"/>
      <c r="AD353" s="1271"/>
      <c r="AE353" s="1271"/>
      <c r="BN353" t="s">
        <v>545</v>
      </c>
    </row>
    <row r="354" spans="1:66" ht="12.95" customHeight="1">
      <c r="B354" s="4"/>
      <c r="C354" s="4"/>
      <c r="D354" s="4"/>
      <c r="E354" s="4"/>
      <c r="F354" s="4"/>
      <c r="I354" s="4" t="s">
        <v>75</v>
      </c>
      <c r="P354" s="1271"/>
      <c r="Q354" s="1271"/>
      <c r="R354" s="1271"/>
      <c r="S354" s="1271"/>
      <c r="T354" s="1271"/>
      <c r="U354" s="1271"/>
      <c r="V354" s="1271"/>
      <c r="W354" s="1271"/>
      <c r="X354" s="1271"/>
      <c r="Y354" s="1271"/>
      <c r="Z354" s="1271"/>
      <c r="AA354" s="1271"/>
      <c r="AB354" s="1271"/>
      <c r="AC354" s="1271"/>
      <c r="AD354" s="1271"/>
      <c r="AE354" s="1271"/>
    </row>
    <row r="355" spans="1:66" ht="12.95" customHeight="1">
      <c r="B355" s="4"/>
      <c r="C355" s="4"/>
      <c r="D355" s="4"/>
      <c r="E355" s="4"/>
      <c r="F355" s="4"/>
      <c r="G355" s="4"/>
      <c r="I355" s="4" t="s">
        <v>87</v>
      </c>
      <c r="P355" s="1271"/>
      <c r="Q355" s="1271"/>
      <c r="R355" s="1271"/>
      <c r="S355" s="1271"/>
      <c r="T355" s="1271"/>
      <c r="U355" s="1271"/>
      <c r="V355" s="1271"/>
      <c r="W355" s="1271"/>
      <c r="X355" s="1271"/>
      <c r="Y355" s="1271"/>
      <c r="Z355" s="1271"/>
      <c r="AA355" s="1271"/>
      <c r="AB355" s="1271"/>
      <c r="AC355" s="1271"/>
      <c r="AD355" s="1271"/>
      <c r="AE355" s="1271"/>
    </row>
    <row r="356" spans="1:66" ht="12.95" customHeight="1">
      <c r="B356" s="4"/>
      <c r="C356" s="4"/>
      <c r="D356" s="4"/>
      <c r="E356" s="4"/>
      <c r="F356" s="4"/>
      <c r="G356" s="4"/>
      <c r="H356" s="302"/>
      <c r="I356" s="4" t="s">
        <v>88</v>
      </c>
      <c r="P356" s="1274"/>
      <c r="Q356" s="1274"/>
      <c r="R356" s="1274"/>
      <c r="S356" s="1274"/>
      <c r="T356" s="1274"/>
      <c r="U356" s="1274"/>
      <c r="V356" s="1274"/>
      <c r="W356" s="1274"/>
      <c r="X356" s="1274"/>
      <c r="Y356" s="1274"/>
      <c r="Z356" s="1274"/>
      <c r="AA356" s="4" t="s">
        <v>206</v>
      </c>
      <c r="AB356" s="4"/>
      <c r="AC356" s="1345"/>
      <c r="AD356" s="1345"/>
      <c r="AE356" s="1345"/>
      <c r="AF356" s="302"/>
      <c r="AG356" s="4"/>
      <c r="AH356" s="4"/>
      <c r="AI356" s="4"/>
      <c r="AJ356" s="4"/>
      <c r="AK356" s="4"/>
    </row>
    <row r="357" spans="1:66" ht="12.95" customHeight="1">
      <c r="B357" s="4"/>
      <c r="C357" s="4"/>
      <c r="D357" s="4"/>
      <c r="E357" s="4"/>
      <c r="F357" s="4"/>
      <c r="G357" s="4"/>
      <c r="H357" s="302"/>
      <c r="I357" s="4" t="s">
        <v>89</v>
      </c>
      <c r="P357" s="1274"/>
      <c r="Q357" s="1274"/>
      <c r="R357" s="1274"/>
      <c r="S357" s="1274"/>
      <c r="T357" s="1274"/>
      <c r="U357" s="1274"/>
      <c r="V357" s="1274"/>
      <c r="W357" s="1274"/>
      <c r="X357" s="1274"/>
      <c r="Y357" s="1274"/>
      <c r="Z357" s="1274"/>
      <c r="AF357" s="302"/>
      <c r="AG357" s="4"/>
      <c r="AH357" s="4"/>
      <c r="AI357" s="35"/>
      <c r="AJ357" s="35"/>
      <c r="AK357" s="35"/>
    </row>
    <row r="358" spans="1:66" ht="12.95" customHeight="1">
      <c r="B358" s="4"/>
      <c r="C358" s="4"/>
      <c r="D358" s="4"/>
      <c r="E358" s="4"/>
      <c r="F358" s="4"/>
      <c r="G358" s="4"/>
      <c r="I358" s="4" t="s">
        <v>76</v>
      </c>
      <c r="P358" s="1272"/>
      <c r="Q358" s="1272"/>
      <c r="R358" s="1272"/>
      <c r="S358" s="1272"/>
      <c r="T358" s="1272"/>
      <c r="U358" s="1272"/>
      <c r="V358" s="1272"/>
      <c r="W358" s="1272"/>
      <c r="X358" s="1272"/>
      <c r="Y358" s="1272"/>
      <c r="Z358" s="1272"/>
      <c r="AA358" s="1272"/>
      <c r="AB358" s="1272"/>
      <c r="AC358" s="1272"/>
      <c r="AD358" s="1272"/>
      <c r="AE358" s="1272"/>
    </row>
    <row r="359" spans="1:66" ht="12.95" customHeight="1">
      <c r="T359" s="8"/>
      <c r="U359" s="8"/>
      <c r="V359" s="8"/>
      <c r="W359" s="8"/>
      <c r="X359" s="8"/>
      <c r="Y359" s="8"/>
      <c r="Z359" s="8"/>
      <c r="AU359" s="95"/>
      <c r="AV359" s="95"/>
      <c r="AW359" s="95"/>
      <c r="AX359" s="95"/>
      <c r="AY359" s="95"/>
    </row>
    <row r="360" spans="1:66" ht="12.95" customHeight="1">
      <c r="A360" s="1492" t="s">
        <v>542</v>
      </c>
      <c r="B360" s="1492"/>
      <c r="C360" s="1492"/>
      <c r="D360" s="1492"/>
      <c r="E360" s="1492"/>
      <c r="F360" s="1492"/>
      <c r="G360" s="1492"/>
      <c r="H360" s="1492"/>
      <c r="I360" s="1492"/>
      <c r="J360" s="1492"/>
      <c r="K360" s="1492"/>
      <c r="L360" s="1492"/>
      <c r="M360" s="1492"/>
      <c r="N360" s="1492"/>
      <c r="O360" s="1492"/>
      <c r="P360" s="1492"/>
      <c r="Q360" s="1492"/>
      <c r="R360" s="1492"/>
      <c r="S360" s="1492"/>
      <c r="T360" s="1492"/>
      <c r="U360" s="1492"/>
      <c r="V360" s="1492"/>
      <c r="W360" s="1492"/>
      <c r="X360" s="1492"/>
      <c r="Y360" s="1492"/>
      <c r="Z360" s="1492"/>
      <c r="AA360" s="1492"/>
      <c r="AB360" s="1492"/>
      <c r="AC360" s="1492"/>
      <c r="AD360" s="1492"/>
      <c r="AE360" s="1492"/>
      <c r="AF360" s="1492"/>
      <c r="AG360" s="1492"/>
      <c r="AH360" s="1492"/>
      <c r="AI360" s="1492"/>
      <c r="AJ360" s="1492"/>
      <c r="AK360" s="1492"/>
      <c r="AL360" s="1492"/>
      <c r="AM360" s="1492"/>
      <c r="AN360" s="1492"/>
      <c r="AO360" s="1492"/>
      <c r="AP360" s="1492"/>
      <c r="AQ360" s="1492"/>
      <c r="AR360" s="1492"/>
      <c r="AS360" s="1492"/>
      <c r="AT360" s="1492"/>
      <c r="AU360" s="95"/>
      <c r="AV360" s="95"/>
      <c r="AW360" s="95"/>
      <c r="AX360" s="95"/>
      <c r="AY360" s="95"/>
    </row>
    <row r="361" spans="1:66" ht="12.95" customHeight="1">
      <c r="A361" s="1492"/>
      <c r="B361" s="1492"/>
      <c r="C361" s="1492"/>
      <c r="D361" s="1492"/>
      <c r="E361" s="1492"/>
      <c r="F361" s="1492"/>
      <c r="G361" s="1492"/>
      <c r="H361" s="1492"/>
      <c r="I361" s="1492"/>
      <c r="J361" s="1492"/>
      <c r="K361" s="1492"/>
      <c r="L361" s="1492"/>
      <c r="M361" s="1492"/>
      <c r="N361" s="1492"/>
      <c r="O361" s="1492"/>
      <c r="P361" s="1492"/>
      <c r="Q361" s="1492"/>
      <c r="R361" s="1492"/>
      <c r="S361" s="1492"/>
      <c r="T361" s="1492"/>
      <c r="U361" s="1492"/>
      <c r="V361" s="1492"/>
      <c r="W361" s="1492"/>
      <c r="X361" s="1492"/>
      <c r="Y361" s="1492"/>
      <c r="Z361" s="1492"/>
      <c r="AA361" s="1492"/>
      <c r="AB361" s="1492"/>
      <c r="AC361" s="1492"/>
      <c r="AD361" s="1492"/>
      <c r="AE361" s="1492"/>
      <c r="AF361" s="1492"/>
      <c r="AG361" s="1492"/>
      <c r="AH361" s="1492"/>
      <c r="AI361" s="1492"/>
      <c r="AJ361" s="1492"/>
      <c r="AK361" s="1492"/>
      <c r="AL361" s="1492"/>
      <c r="AM361" s="1492"/>
      <c r="AN361" s="1492"/>
      <c r="AO361" s="1492"/>
      <c r="AP361" s="1492"/>
      <c r="AQ361" s="1492"/>
      <c r="AR361" s="1492"/>
      <c r="AS361" s="1492"/>
      <c r="AT361" s="1492"/>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269" t="s">
        <v>591</v>
      </c>
      <c r="N364" s="1269"/>
      <c r="P364" t="s">
        <v>1639</v>
      </c>
      <c r="AJ364" s="1269" t="s">
        <v>591</v>
      </c>
      <c r="AK364" s="1269"/>
    </row>
    <row r="365" spans="1:66" ht="12.95" customHeight="1">
      <c r="D365" s="3" t="s">
        <v>1628</v>
      </c>
      <c r="M365" s="1269" t="s">
        <v>591</v>
      </c>
      <c r="N365" s="1269"/>
      <c r="P365" s="3" t="s">
        <v>1708</v>
      </c>
      <c r="AJ365" s="1275"/>
      <c r="AK365" s="1275"/>
    </row>
    <row r="366" spans="1:66" ht="12.95" customHeight="1">
      <c r="D366" s="3" t="s">
        <v>704</v>
      </c>
      <c r="M366" s="1269" t="s">
        <v>591</v>
      </c>
      <c r="N366" s="1269"/>
      <c r="P366" t="s">
        <v>1638</v>
      </c>
      <c r="AJ366" s="1269" t="s">
        <v>545</v>
      </c>
      <c r="AK366" s="1269"/>
    </row>
    <row r="367" spans="1:66" ht="12.95" customHeight="1">
      <c r="D367" s="3" t="s">
        <v>705</v>
      </c>
      <c r="M367" s="1269" t="s">
        <v>545</v>
      </c>
      <c r="N367" s="1269"/>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269" t="s">
        <v>545</v>
      </c>
      <c r="O372" s="1269"/>
      <c r="P372" s="40"/>
      <c r="Q372" s="40"/>
      <c r="R372" s="40"/>
      <c r="S372" s="40"/>
      <c r="T372" s="40"/>
      <c r="U372" s="40"/>
      <c r="V372" s="40"/>
      <c r="W372" s="40"/>
      <c r="X372" s="40"/>
      <c r="Y372" s="40"/>
      <c r="Z372" s="40"/>
      <c r="AC372" s="40"/>
      <c r="AD372" s="40"/>
      <c r="AE372" s="40"/>
    </row>
    <row r="373" spans="1:34" ht="12.95" customHeight="1">
      <c r="E373" t="s">
        <v>370</v>
      </c>
      <c r="Y373" s="1269" t="s">
        <v>591</v>
      </c>
      <c r="Z373" s="1269"/>
    </row>
    <row r="374" spans="1:34" ht="12.95" customHeight="1">
      <c r="D374" s="4" t="s">
        <v>978</v>
      </c>
      <c r="Q374" s="1272" t="s">
        <v>2726</v>
      </c>
      <c r="R374" s="1272"/>
      <c r="S374" s="1272"/>
      <c r="T374" s="1272"/>
      <c r="U374" s="1272"/>
      <c r="V374" s="1272"/>
      <c r="W374" s="1272"/>
      <c r="X374" s="1272"/>
      <c r="Y374" s="1272"/>
      <c r="Z374" s="1272"/>
      <c r="AA374" s="1272"/>
      <c r="AB374" s="1272"/>
      <c r="AC374" s="1272"/>
      <c r="AD374" s="1272"/>
      <c r="AE374" s="1272"/>
      <c r="AF374" s="1272"/>
      <c r="AG374" s="127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269" t="s">
        <v>545</v>
      </c>
      <c r="K376" s="1269"/>
      <c r="L376" s="40"/>
      <c r="M376" s="40"/>
      <c r="N376" s="40"/>
      <c r="O376" s="40"/>
      <c r="P376" s="40"/>
      <c r="Q376" s="40"/>
      <c r="R376" s="40"/>
      <c r="S376" s="40"/>
      <c r="T376" s="40"/>
      <c r="U376" s="40"/>
      <c r="V376" s="40"/>
      <c r="W376" s="40"/>
      <c r="X376" s="40"/>
      <c r="Y376" s="40"/>
      <c r="Z376" s="40"/>
      <c r="AC376" s="40"/>
      <c r="AD376" s="40"/>
      <c r="AE376" s="40"/>
    </row>
    <row r="377" spans="1:34" ht="12.95" customHeight="1">
      <c r="E377" s="1273" t="s">
        <v>706</v>
      </c>
      <c r="F377" s="1273"/>
      <c r="G377" s="1273"/>
      <c r="H377" s="1273"/>
      <c r="I377" s="1273"/>
      <c r="J377" s="1273"/>
      <c r="K377" s="1273"/>
      <c r="L377" s="1273"/>
      <c r="M377" s="1273"/>
      <c r="N377" s="1273"/>
      <c r="O377" s="1273"/>
      <c r="P377" s="1273"/>
      <c r="Q377" s="1273"/>
      <c r="R377" s="1273"/>
      <c r="S377" s="1273"/>
      <c r="T377" s="1273"/>
      <c r="U377" s="1273"/>
      <c r="V377" s="1273"/>
      <c r="W377" s="1273"/>
      <c r="X377" s="1273"/>
      <c r="Y377" s="1273"/>
      <c r="Z377" s="1273"/>
      <c r="AA377" s="1273"/>
      <c r="AB377" s="1273"/>
      <c r="AC377" s="1273"/>
      <c r="AD377" s="1273"/>
      <c r="AE377" s="1273"/>
      <c r="AF377" s="1273"/>
      <c r="AG377" s="1273"/>
      <c r="AH377" s="1273"/>
    </row>
    <row r="378" spans="1:34" ht="12.95" customHeight="1">
      <c r="E378" s="1273"/>
      <c r="F378" s="1273"/>
      <c r="G378" s="1273"/>
      <c r="H378" s="1273"/>
      <c r="I378" s="1273"/>
      <c r="J378" s="1273"/>
      <c r="K378" s="1273"/>
      <c r="L378" s="1273"/>
      <c r="M378" s="1273"/>
      <c r="N378" s="1273"/>
      <c r="O378" s="1273"/>
      <c r="P378" s="1273"/>
      <c r="Q378" s="1273"/>
      <c r="R378" s="1273"/>
      <c r="S378" s="1273"/>
      <c r="T378" s="1273"/>
      <c r="U378" s="1273"/>
      <c r="V378" s="1273"/>
      <c r="W378" s="1273"/>
      <c r="X378" s="1273"/>
      <c r="Y378" s="1273"/>
      <c r="Z378" s="1273"/>
      <c r="AA378" s="1273"/>
      <c r="AB378" s="1273"/>
      <c r="AC378" s="1273"/>
      <c r="AD378" s="1273"/>
      <c r="AE378" s="1273"/>
      <c r="AF378" s="1273"/>
      <c r="AG378" s="1273"/>
      <c r="AH378" s="1273"/>
    </row>
    <row r="379" spans="1:34" ht="12.95" customHeight="1">
      <c r="E379" s="4" t="s">
        <v>448</v>
      </c>
      <c r="F379" s="4"/>
      <c r="G379" s="4"/>
      <c r="H379" s="4"/>
      <c r="I379" s="4"/>
      <c r="J379" s="4"/>
      <c r="K379" s="4"/>
      <c r="L379" s="4"/>
      <c r="N379" s="1276">
        <v>16</v>
      </c>
      <c r="O379" s="1276"/>
      <c r="P379" s="1276"/>
      <c r="Q379" s="1276"/>
      <c r="R379" s="4"/>
      <c r="U379" s="4" t="s">
        <v>449</v>
      </c>
      <c r="V379" s="4"/>
      <c r="W379" s="4"/>
      <c r="X379" s="4"/>
      <c r="Y379" s="4"/>
      <c r="Z379" s="4"/>
      <c r="AA379" s="4"/>
      <c r="AB379" s="4"/>
      <c r="AC379" s="1276">
        <v>1</v>
      </c>
      <c r="AD379" s="1276"/>
      <c r="AE379" s="1276"/>
      <c r="AF379" s="1276"/>
    </row>
    <row r="380" spans="1:34" ht="12.95" customHeight="1">
      <c r="E380" s="4" t="s">
        <v>450</v>
      </c>
      <c r="F380" s="4"/>
      <c r="G380" s="4"/>
      <c r="H380" s="4"/>
      <c r="I380" s="4"/>
      <c r="J380" s="4"/>
      <c r="K380" s="4"/>
      <c r="L380" s="4"/>
      <c r="N380" s="1276">
        <v>1</v>
      </c>
      <c r="O380" s="1276"/>
      <c r="P380" s="1276"/>
      <c r="Q380" s="1276"/>
      <c r="R380" s="4"/>
      <c r="U380" s="4" t="s">
        <v>0</v>
      </c>
      <c r="V380" s="4"/>
      <c r="W380" s="4"/>
      <c r="X380" s="4"/>
      <c r="Y380" s="4"/>
      <c r="Z380" s="4"/>
      <c r="AA380" s="4"/>
      <c r="AB380" s="4"/>
      <c r="AC380" s="1276">
        <v>222</v>
      </c>
      <c r="AD380" s="1276"/>
      <c r="AE380" s="1276"/>
      <c r="AF380" s="1276"/>
    </row>
    <row r="381" spans="1:34" ht="12.95" customHeight="1">
      <c r="E381" s="4" t="s">
        <v>1</v>
      </c>
      <c r="F381" s="4"/>
      <c r="G381" s="4"/>
      <c r="H381" s="4"/>
      <c r="I381" s="4"/>
      <c r="J381" s="4"/>
      <c r="K381" s="4"/>
      <c r="L381" s="4"/>
      <c r="N381" s="1276">
        <v>3</v>
      </c>
      <c r="O381" s="1276"/>
      <c r="P381" s="1276"/>
      <c r="Q381" s="1276"/>
      <c r="R381" s="4"/>
      <c r="V381" s="4"/>
      <c r="W381" s="4"/>
      <c r="X381" s="4"/>
      <c r="Y381" s="4"/>
      <c r="Z381" s="4"/>
      <c r="AA381" s="4"/>
      <c r="AB381" s="4"/>
    </row>
    <row r="382" spans="1:34" ht="12.95" customHeight="1">
      <c r="E382" s="4" t="s">
        <v>2</v>
      </c>
      <c r="F382" s="4"/>
      <c r="G382" s="4"/>
      <c r="H382" s="4"/>
      <c r="I382" s="4"/>
      <c r="J382" s="4"/>
      <c r="K382" s="4"/>
      <c r="L382" s="4"/>
      <c r="N382" s="1453" t="s">
        <v>2727</v>
      </c>
      <c r="O382" s="1454"/>
      <c r="P382" s="1454"/>
      <c r="Q382" s="1454"/>
      <c r="R382" s="1454"/>
      <c r="S382" s="1454"/>
      <c r="T382" s="1454"/>
      <c r="U382" s="1454"/>
      <c r="V382" s="1454"/>
      <c r="W382" s="1454"/>
      <c r="X382" s="1454"/>
      <c r="Y382" s="1454"/>
      <c r="Z382" s="1454"/>
      <c r="AA382" s="1454"/>
      <c r="AB382" s="1454"/>
      <c r="AC382" s="1454"/>
      <c r="AD382" s="1454"/>
      <c r="AE382" s="1454"/>
      <c r="AF382" s="1454"/>
    </row>
    <row r="383" spans="1:34" ht="12.95" customHeight="1">
      <c r="E383" s="4"/>
      <c r="F383" s="4"/>
      <c r="G383" s="4"/>
      <c r="H383" s="4"/>
      <c r="I383" s="4"/>
      <c r="J383" s="4"/>
      <c r="K383" s="4"/>
      <c r="L383" s="4"/>
      <c r="N383" s="1455"/>
      <c r="O383" s="1455"/>
      <c r="P383" s="1455"/>
      <c r="Q383" s="1455"/>
      <c r="R383" s="1455"/>
      <c r="S383" s="1455"/>
      <c r="T383" s="1455"/>
      <c r="U383" s="1455"/>
      <c r="V383" s="1455"/>
      <c r="W383" s="1455"/>
      <c r="X383" s="1455"/>
      <c r="Y383" s="1455"/>
      <c r="Z383" s="1455"/>
      <c r="AA383" s="1455"/>
      <c r="AB383" s="1455"/>
      <c r="AC383" s="1455"/>
      <c r="AD383" s="1455"/>
      <c r="AE383" s="1455"/>
      <c r="AF383" s="1455"/>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270">
        <v>2007</v>
      </c>
      <c r="T386" s="1270"/>
      <c r="U386" s="1" t="s">
        <v>306</v>
      </c>
      <c r="V386" s="1270">
        <v>869</v>
      </c>
      <c r="W386" s="1270"/>
      <c r="Y386" t="s">
        <v>2035</v>
      </c>
      <c r="AC386" s="27" t="s">
        <v>305</v>
      </c>
      <c r="AD386" s="1270"/>
      <c r="AE386" s="1270"/>
      <c r="AF386" s="1" t="s">
        <v>306</v>
      </c>
      <c r="AG386" s="1270"/>
      <c r="AH386" s="1270"/>
    </row>
    <row r="387" spans="1:36" ht="12.95" customHeight="1">
      <c r="E387" s="4" t="s">
        <v>987</v>
      </c>
      <c r="F387" s="4"/>
      <c r="G387" s="4"/>
      <c r="H387" s="4"/>
      <c r="I387" s="4"/>
      <c r="J387" s="4"/>
      <c r="K387" s="4"/>
      <c r="L387" s="4"/>
      <c r="N387" s="1270">
        <v>2010</v>
      </c>
      <c r="O387" s="1270"/>
      <c r="P387" s="1270"/>
    </row>
    <row r="388" spans="1:36" ht="12.95" customHeight="1">
      <c r="E388" s="204" t="s">
        <v>2040</v>
      </c>
      <c r="F388" s="4"/>
      <c r="G388" s="4"/>
      <c r="H388" s="4"/>
      <c r="I388" s="4"/>
      <c r="J388" s="4"/>
      <c r="K388" s="4"/>
      <c r="L388" s="4"/>
      <c r="AG388" s="1376" t="s">
        <v>545</v>
      </c>
      <c r="AH388" s="1376"/>
    </row>
    <row r="389" spans="1:36" ht="12.95" customHeight="1">
      <c r="E389" s="4"/>
      <c r="F389" s="4"/>
      <c r="G389" s="4" t="s">
        <v>2041</v>
      </c>
      <c r="H389" s="4"/>
      <c r="I389" s="4"/>
      <c r="J389" s="4"/>
      <c r="K389" s="4"/>
      <c r="L389" s="4"/>
      <c r="AG389" s="1376" t="s">
        <v>591</v>
      </c>
      <c r="AH389" s="1376"/>
    </row>
    <row r="390" spans="1:36" ht="12.95" customHeight="1">
      <c r="E390" s="4"/>
      <c r="F390" s="4"/>
      <c r="G390" s="320" t="s">
        <v>988</v>
      </c>
      <c r="H390" s="4"/>
      <c r="I390" s="4"/>
      <c r="J390" s="4"/>
      <c r="K390" s="4"/>
      <c r="L390" s="4"/>
      <c r="V390" s="1269" t="s">
        <v>591</v>
      </c>
      <c r="W390" s="1269"/>
      <c r="Y390" s="22" t="s">
        <v>980</v>
      </c>
    </row>
    <row r="391" spans="1:36" ht="12.95" customHeight="1">
      <c r="E391" s="4" t="s">
        <v>981</v>
      </c>
      <c r="F391" s="4"/>
      <c r="G391" s="4"/>
      <c r="H391" s="4"/>
      <c r="I391" s="4"/>
      <c r="J391" s="4"/>
      <c r="K391" s="4"/>
      <c r="L391" s="4"/>
      <c r="V391" s="1269" t="s">
        <v>591</v>
      </c>
      <c r="W391" s="1269"/>
      <c r="Y391" s="4" t="s">
        <v>982</v>
      </c>
    </row>
    <row r="392" spans="1:36" ht="12.95" customHeight="1"/>
    <row r="393" spans="1:36" ht="12.95" customHeight="1">
      <c r="A393" s="2" t="s">
        <v>78</v>
      </c>
      <c r="B393" s="2"/>
    </row>
    <row r="394" spans="1:36" ht="12.95" customHeight="1">
      <c r="D394" t="s">
        <v>428</v>
      </c>
      <c r="J394" s="1266" t="s">
        <v>2728</v>
      </c>
      <c r="K394" s="1266"/>
      <c r="L394" s="1266"/>
      <c r="M394" s="1266"/>
      <c r="N394" s="1266"/>
      <c r="O394" s="1266"/>
      <c r="P394" s="1266"/>
      <c r="Q394" s="1266"/>
      <c r="R394" s="1266"/>
      <c r="S394" s="1266"/>
      <c r="T394" s="1266"/>
      <c r="U394" s="1266"/>
      <c r="V394" s="8" t="s">
        <v>83</v>
      </c>
      <c r="W394" s="8"/>
      <c r="X394" s="8"/>
      <c r="Y394" s="8"/>
      <c r="Z394" s="8"/>
      <c r="AA394" s="8"/>
      <c r="AB394" s="8"/>
      <c r="AC394" s="1448" t="s">
        <v>2732</v>
      </c>
      <c r="AD394" s="1272"/>
      <c r="AE394" s="1272"/>
      <c r="AF394" s="1272"/>
      <c r="AG394" s="1272"/>
      <c r="AH394" s="1272"/>
      <c r="AI394" s="1272"/>
      <c r="AJ394" s="1272"/>
    </row>
    <row r="395" spans="1:36" ht="12.95" customHeight="1">
      <c r="D395" s="3" t="s">
        <v>1182</v>
      </c>
      <c r="J395" s="1267" t="s">
        <v>2729</v>
      </c>
      <c r="K395" s="1267"/>
      <c r="L395" s="1267"/>
      <c r="M395" s="1267"/>
      <c r="N395" s="1267"/>
      <c r="O395" s="1267"/>
      <c r="P395" s="1267"/>
      <c r="Q395" s="1267"/>
      <c r="R395" s="1267"/>
      <c r="S395" s="1267"/>
      <c r="T395" s="1267"/>
      <c r="U395" s="1267"/>
      <c r="V395" s="3" t="s">
        <v>1182</v>
      </c>
      <c r="W395" s="8"/>
      <c r="X395" s="8"/>
      <c r="Y395" s="8"/>
      <c r="Z395" s="8"/>
      <c r="AA395" s="8"/>
      <c r="AB395" s="8"/>
      <c r="AC395" s="1272" t="s">
        <v>2732</v>
      </c>
      <c r="AD395" s="1272"/>
      <c r="AE395" s="1272"/>
      <c r="AF395" s="1272"/>
      <c r="AG395" s="1272"/>
      <c r="AH395" s="1272"/>
      <c r="AI395" s="1272"/>
      <c r="AJ395" s="1272"/>
    </row>
    <row r="396" spans="1:36" ht="12.95" customHeight="1">
      <c r="D396" s="3" t="s">
        <v>441</v>
      </c>
      <c r="J396" s="1267" t="s">
        <v>2730</v>
      </c>
      <c r="K396" s="1267"/>
      <c r="L396" s="1267"/>
      <c r="M396" s="1267"/>
      <c r="N396" s="1267"/>
      <c r="O396" s="1267"/>
      <c r="P396" s="1267"/>
      <c r="Q396" s="1267"/>
      <c r="R396" s="1267"/>
      <c r="S396" s="1267"/>
      <c r="T396" s="1267"/>
      <c r="U396" s="1267"/>
      <c r="V396" s="3" t="s">
        <v>441</v>
      </c>
      <c r="W396" s="8"/>
      <c r="X396" s="8"/>
      <c r="Y396" s="8"/>
      <c r="Z396" s="8"/>
      <c r="AA396" s="8"/>
      <c r="AB396" s="8"/>
      <c r="AC396" s="1272" t="s">
        <v>2730</v>
      </c>
      <c r="AD396" s="1272"/>
      <c r="AE396" s="1272"/>
      <c r="AF396" s="1272"/>
      <c r="AG396" s="1272"/>
      <c r="AH396" s="1272"/>
      <c r="AI396" s="1272"/>
      <c r="AJ396" s="1272"/>
    </row>
    <row r="397" spans="1:36" ht="12.95" customHeight="1">
      <c r="D397" t="s">
        <v>1178</v>
      </c>
      <c r="J397" s="1268" t="s">
        <v>2731</v>
      </c>
      <c r="K397" s="1268"/>
      <c r="L397" s="1268"/>
      <c r="M397" s="1268"/>
      <c r="N397" s="1268"/>
      <c r="O397" s="1268"/>
      <c r="P397" s="1268"/>
      <c r="Q397" s="1268"/>
      <c r="R397" s="1268"/>
      <c r="S397" s="1268"/>
      <c r="T397" s="1268"/>
      <c r="U397" s="1268"/>
      <c r="V397" s="1448" t="s">
        <v>2733</v>
      </c>
      <c r="W397" s="1272"/>
      <c r="X397" s="1272"/>
      <c r="Y397" s="1272"/>
      <c r="Z397" s="1272"/>
      <c r="AA397" s="1272"/>
      <c r="AB397" s="1272"/>
      <c r="AC397" s="1272"/>
      <c r="AD397" s="1272"/>
      <c r="AE397" s="1272"/>
      <c r="AF397" s="1272"/>
      <c r="AG397" s="1272"/>
      <c r="AH397" s="1272"/>
      <c r="AI397" s="1272"/>
      <c r="AJ397" s="1272"/>
    </row>
    <row r="398" spans="1:36" ht="12.95" customHeight="1">
      <c r="D398" t="s">
        <v>4</v>
      </c>
      <c r="Q398" s="1513">
        <v>45474</v>
      </c>
      <c r="R398" s="1513"/>
      <c r="S398" s="1513"/>
      <c r="T398" s="1513"/>
      <c r="U398" s="1513"/>
      <c r="V398" t="s">
        <v>309</v>
      </c>
      <c r="AI398" s="1269" t="s">
        <v>669</v>
      </c>
      <c r="AJ398" s="1269"/>
    </row>
    <row r="399" spans="1:36" ht="12.95" customHeight="1">
      <c r="D399" t="s">
        <v>5</v>
      </c>
      <c r="Q399" s="1446">
        <v>46568</v>
      </c>
      <c r="R399" s="1447"/>
      <c r="S399" s="1447"/>
      <c r="T399" s="1447"/>
      <c r="U399" s="1447"/>
      <c r="W399" s="21" t="s">
        <v>74</v>
      </c>
      <c r="AG399" s="1378"/>
      <c r="AH399" s="1378"/>
      <c r="AI399" s="1378"/>
      <c r="AJ399" s="1378"/>
    </row>
    <row r="400" spans="1:36" ht="12.95" customHeight="1">
      <c r="D400" t="s">
        <v>427</v>
      </c>
      <c r="Q400" s="1379">
        <v>36200000</v>
      </c>
      <c r="R400" s="1379"/>
      <c r="S400" s="1379"/>
      <c r="T400" s="1379"/>
      <c r="U400" s="1379"/>
      <c r="V400" s="3" t="s">
        <v>1181</v>
      </c>
      <c r="AG400" s="1444"/>
      <c r="AH400" s="1444"/>
      <c r="AI400" s="1444"/>
      <c r="AJ400" s="1444"/>
    </row>
    <row r="401" spans="4:36" ht="12.95" customHeight="1">
      <c r="D401" t="s">
        <v>88</v>
      </c>
      <c r="I401" s="1279"/>
      <c r="J401" s="1279"/>
      <c r="K401" s="1279"/>
      <c r="L401" s="1279"/>
      <c r="M401" s="1279"/>
      <c r="N401" s="1279"/>
      <c r="Q401" s="4" t="s">
        <v>206</v>
      </c>
      <c r="S401" s="1377"/>
      <c r="T401" s="1377"/>
      <c r="U401" s="1377"/>
      <c r="V401" t="s">
        <v>73</v>
      </c>
      <c r="AI401" s="1269" t="s">
        <v>669</v>
      </c>
      <c r="AJ401" s="1269"/>
    </row>
    <row r="402" spans="4:36" ht="12.95" customHeight="1">
      <c r="D402" t="s">
        <v>310</v>
      </c>
      <c r="Q402" s="1512"/>
      <c r="R402" s="1512"/>
      <c r="S402" s="1512"/>
      <c r="T402" s="1512"/>
      <c r="U402" s="1512"/>
      <c r="V402" t="s">
        <v>311</v>
      </c>
      <c r="AG402" s="1378"/>
      <c r="AH402" s="1378"/>
      <c r="AI402" s="1378"/>
      <c r="AJ402" s="1378"/>
    </row>
    <row r="403" spans="4:36" ht="12.95" customHeight="1">
      <c r="D403" t="s">
        <v>312</v>
      </c>
      <c r="Q403" s="1502"/>
      <c r="R403" s="1502"/>
      <c r="S403" s="1502"/>
      <c r="T403" s="1502"/>
      <c r="U403" s="1502"/>
      <c r="V403" t="s">
        <v>1163</v>
      </c>
      <c r="AG403" s="1378"/>
      <c r="AH403" s="1378"/>
      <c r="AI403" s="1378"/>
      <c r="AJ403" s="1378"/>
    </row>
    <row r="404" spans="4:36" ht="12.95" customHeight="1">
      <c r="D404" t="s">
        <v>1162</v>
      </c>
      <c r="AG404" s="1378"/>
      <c r="AH404" s="1378"/>
      <c r="AI404" s="1378"/>
      <c r="AJ404" s="1378"/>
    </row>
    <row r="405" spans="4:36" ht="12.95" customHeight="1">
      <c r="AG405" s="456"/>
      <c r="AH405" s="456"/>
      <c r="AI405" s="456"/>
      <c r="AJ405" s="456"/>
    </row>
    <row r="406" spans="4:36" ht="12.95" customHeight="1">
      <c r="D406" s="3" t="s">
        <v>2097</v>
      </c>
      <c r="AG406" s="456"/>
      <c r="AH406" s="456"/>
      <c r="AI406" s="1269" t="s">
        <v>669</v>
      </c>
      <c r="AJ406" s="1269"/>
    </row>
    <row r="407" spans="4:36" ht="12.95" customHeight="1">
      <c r="D407" s="3" t="s">
        <v>1656</v>
      </c>
      <c r="T407" s="1381"/>
      <c r="U407" s="1381"/>
      <c r="V407" s="1381"/>
      <c r="W407" s="1381"/>
      <c r="X407" s="1381"/>
      <c r="Y407" s="1381"/>
      <c r="Z407" s="1381"/>
      <c r="AA407" s="1381"/>
      <c r="AB407" s="1381"/>
      <c r="AC407" s="1381"/>
      <c r="AD407" s="1381"/>
      <c r="AE407" s="1381"/>
      <c r="AF407" s="1381"/>
      <c r="AG407" s="1381"/>
      <c r="AH407" s="1381"/>
      <c r="AI407" s="1381"/>
      <c r="AJ407" s="1381"/>
    </row>
    <row r="408" spans="4:36" ht="12.95" customHeight="1">
      <c r="D408" s="3" t="s">
        <v>1655</v>
      </c>
      <c r="T408" s="1381"/>
      <c r="U408" s="1381"/>
      <c r="V408" s="1381"/>
      <c r="W408" s="1381"/>
      <c r="X408" s="1381"/>
      <c r="Y408" s="1381"/>
      <c r="Z408" s="1381"/>
      <c r="AA408" s="1381"/>
      <c r="AB408" s="1381"/>
      <c r="AC408" s="1381"/>
      <c r="AD408" s="1381"/>
      <c r="AE408" s="1381"/>
      <c r="AF408" s="1381"/>
      <c r="AG408" s="1381"/>
      <c r="AH408" s="1381"/>
      <c r="AI408" s="1381"/>
      <c r="AJ408" s="1381"/>
    </row>
    <row r="409" spans="4:36" ht="12.95" customHeight="1">
      <c r="AG409" s="456"/>
      <c r="AH409" s="456"/>
      <c r="AI409" s="456"/>
      <c r="AJ409" s="456"/>
    </row>
    <row r="410" spans="4:36" ht="12.95" customHeight="1">
      <c r="D410" s="3" t="s">
        <v>1649</v>
      </c>
      <c r="S410" s="1381" t="s">
        <v>669</v>
      </c>
      <c r="T410" s="1381"/>
      <c r="U410" s="1381"/>
      <c r="V410" t="s">
        <v>1650</v>
      </c>
      <c r="AG410" s="1449"/>
      <c r="AH410" s="1449"/>
      <c r="AI410" s="1449"/>
      <c r="AJ410" s="1449"/>
    </row>
    <row r="411" spans="4:36" ht="12.95" customHeight="1">
      <c r="D411" s="3" t="s">
        <v>1647</v>
      </c>
      <c r="S411" s="1381" t="s">
        <v>591</v>
      </c>
      <c r="T411" s="1381"/>
      <c r="U411" s="1381"/>
      <c r="V411" t="s">
        <v>1652</v>
      </c>
      <c r="AE411" s="1457"/>
      <c r="AF411" s="1457"/>
      <c r="AG411" s="1457"/>
      <c r="AH411" s="1457"/>
      <c r="AI411" s="1457"/>
      <c r="AJ411" s="1457"/>
    </row>
    <row r="412" spans="4:36" ht="12.95" customHeight="1">
      <c r="D412" s="3" t="s">
        <v>1648</v>
      </c>
      <c r="K412" s="1445"/>
      <c r="L412" s="1445"/>
      <c r="M412" s="1445"/>
      <c r="N412" s="1445"/>
      <c r="O412" s="1445"/>
      <c r="P412" s="1445"/>
      <c r="Q412" s="1445"/>
      <c r="R412" s="1445"/>
      <c r="S412" s="1445"/>
      <c r="T412" s="1445"/>
      <c r="U412" s="1445"/>
      <c r="V412" s="1445"/>
      <c r="W412" s="1445"/>
      <c r="X412" s="1445"/>
      <c r="Y412" s="1445"/>
      <c r="Z412" s="1445"/>
      <c r="AA412" s="1445"/>
      <c r="AB412" s="1445"/>
      <c r="AC412" s="1445"/>
      <c r="AD412" s="1445"/>
      <c r="AE412" s="1445"/>
      <c r="AF412" s="1445"/>
      <c r="AG412" s="1445"/>
      <c r="AH412" s="1445"/>
      <c r="AI412" s="1445"/>
      <c r="AJ412" s="1445"/>
    </row>
    <row r="413" spans="4:36" ht="12.95" customHeight="1">
      <c r="D413" s="3" t="s">
        <v>1651</v>
      </c>
      <c r="K413" s="1445"/>
      <c r="L413" s="1445"/>
      <c r="M413" s="1445"/>
      <c r="N413" s="1445"/>
      <c r="O413" s="1445"/>
      <c r="P413" s="1445"/>
      <c r="Q413" s="1445"/>
      <c r="R413" s="1445"/>
      <c r="S413" s="1445"/>
      <c r="T413" s="1445"/>
      <c r="U413" s="1445"/>
      <c r="V413" s="1445"/>
      <c r="W413" s="1445"/>
      <c r="X413" s="1445"/>
      <c r="Y413" s="1445"/>
      <c r="Z413" s="1445"/>
      <c r="AA413" s="1445"/>
      <c r="AB413" s="1445"/>
      <c r="AC413" s="1445"/>
      <c r="AD413" s="1445"/>
      <c r="AE413" s="1445"/>
      <c r="AF413" s="1445"/>
      <c r="AG413" s="1445"/>
      <c r="AH413" s="1445"/>
      <c r="AI413" s="1445"/>
      <c r="AJ413" s="1445"/>
    </row>
    <row r="414" spans="4:36" ht="12.95" customHeight="1">
      <c r="D414" s="3" t="s">
        <v>1654</v>
      </c>
      <c r="E414" s="477"/>
      <c r="F414" s="477"/>
      <c r="G414" s="477"/>
      <c r="H414" s="477"/>
      <c r="I414" s="477"/>
      <c r="J414" s="477"/>
      <c r="K414" s="477"/>
      <c r="L414" s="477"/>
      <c r="M414" s="477"/>
      <c r="N414" s="477"/>
      <c r="O414" s="477"/>
      <c r="P414" s="477"/>
      <c r="Q414" s="477"/>
      <c r="R414" s="477"/>
      <c r="S414" s="1375" t="s">
        <v>2734</v>
      </c>
      <c r="T414" s="1375"/>
      <c r="U414" s="1375"/>
      <c r="V414" s="1375"/>
      <c r="W414" s="1375"/>
      <c r="X414" s="1375"/>
      <c r="Y414" s="1375"/>
      <c r="Z414" s="1375"/>
      <c r="AA414" s="1375"/>
      <c r="AB414" s="1375"/>
      <c r="AC414" s="1375"/>
      <c r="AD414" s="1375"/>
      <c r="AE414" s="1375"/>
      <c r="AF414" s="1375"/>
      <c r="AG414" s="1375"/>
      <c r="AH414" s="1375"/>
      <c r="AI414" s="1375"/>
      <c r="AJ414" s="1375"/>
    </row>
    <row r="415" spans="4:36" ht="12.95" customHeight="1">
      <c r="D415" s="1515" t="s">
        <v>1653</v>
      </c>
      <c r="E415" s="1515"/>
      <c r="F415" s="1515"/>
      <c r="G415" s="1515"/>
      <c r="H415" s="1515"/>
      <c r="I415" s="1515"/>
      <c r="J415" s="1515"/>
      <c r="K415" s="1515"/>
      <c r="L415" s="1515"/>
      <c r="M415" s="1515"/>
      <c r="N415" s="1515"/>
      <c r="O415" s="1515"/>
      <c r="P415" s="1515"/>
      <c r="Q415" s="1515"/>
      <c r="R415" s="1515"/>
      <c r="S415" s="1515"/>
      <c r="T415" s="1515"/>
      <c r="U415" s="1515"/>
      <c r="V415" s="1515"/>
      <c r="W415" s="1515"/>
      <c r="X415" s="1515"/>
      <c r="Y415" s="1515"/>
      <c r="Z415" s="1515"/>
      <c r="AA415" s="1515"/>
      <c r="AB415" s="1515"/>
      <c r="AC415" s="1515"/>
      <c r="AD415" s="1515"/>
      <c r="AE415" s="1515"/>
      <c r="AF415" s="1515"/>
      <c r="AG415" s="1515"/>
      <c r="AH415" s="1515"/>
      <c r="AI415" s="1515"/>
      <c r="AJ415" s="1515"/>
    </row>
    <row r="416" spans="4:36" ht="12.95" customHeight="1">
      <c r="D416" s="1515"/>
      <c r="E416" s="1515"/>
      <c r="F416" s="1515"/>
      <c r="G416" s="1515"/>
      <c r="H416" s="1515"/>
      <c r="I416" s="1515"/>
      <c r="J416" s="1515"/>
      <c r="K416" s="1515"/>
      <c r="L416" s="1515"/>
      <c r="M416" s="1515"/>
      <c r="N416" s="1515"/>
      <c r="O416" s="1515"/>
      <c r="P416" s="1515"/>
      <c r="Q416" s="1515"/>
      <c r="R416" s="1515"/>
      <c r="S416" s="1515"/>
      <c r="T416" s="1515"/>
      <c r="U416" s="1515"/>
      <c r="V416" s="1515"/>
      <c r="W416" s="1515"/>
      <c r="X416" s="1515"/>
      <c r="Y416" s="1515"/>
      <c r="Z416" s="1515"/>
      <c r="AA416" s="1515"/>
      <c r="AB416" s="1515"/>
      <c r="AC416" s="1515"/>
      <c r="AD416" s="1515"/>
      <c r="AE416" s="1515"/>
      <c r="AF416" s="1515"/>
      <c r="AG416" s="1515"/>
      <c r="AH416" s="1515"/>
      <c r="AI416" s="1515"/>
      <c r="AJ416" s="1515"/>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48" t="s">
        <v>2735</v>
      </c>
      <c r="J419" s="1448"/>
      <c r="K419" s="1448"/>
      <c r="L419" s="1448"/>
      <c r="M419" s="1448"/>
      <c r="N419" s="1448"/>
      <c r="O419" s="1448"/>
      <c r="P419" s="1448"/>
      <c r="Q419" s="1448"/>
      <c r="R419" s="1448"/>
      <c r="S419" s="1448"/>
      <c r="T419" s="1448"/>
      <c r="U419" s="1448"/>
      <c r="V419" s="1448"/>
      <c r="W419" s="1448"/>
      <c r="X419" s="1448"/>
      <c r="Y419" s="1448"/>
      <c r="Z419" s="1448"/>
      <c r="AA419" s="1448"/>
      <c r="AB419" s="1448"/>
      <c r="AC419" s="1448"/>
      <c r="AD419" s="1448"/>
      <c r="AE419" s="1448"/>
    </row>
    <row r="420" spans="1:39" ht="12.95" customHeight="1">
      <c r="E420" t="s">
        <v>106</v>
      </c>
      <c r="R420" s="1269" t="s">
        <v>545</v>
      </c>
      <c r="S420" s="1269"/>
      <c r="AC420" s="27" t="s">
        <v>570</v>
      </c>
      <c r="AD420" s="1276">
        <v>3</v>
      </c>
      <c r="AE420" s="1276"/>
    </row>
    <row r="421" spans="1:39" ht="12.95" customHeight="1">
      <c r="E421" t="s">
        <v>107</v>
      </c>
      <c r="R421" s="1269" t="s">
        <v>591</v>
      </c>
      <c r="S421" s="1269"/>
      <c r="AC421" s="27" t="s">
        <v>570</v>
      </c>
      <c r="AD421" s="1276"/>
      <c r="AE421" s="1276"/>
    </row>
    <row r="422" spans="1:39" ht="12.95" customHeight="1">
      <c r="E422" t="s">
        <v>108</v>
      </c>
      <c r="S422" s="1269" t="s">
        <v>591</v>
      </c>
      <c r="T422" s="1269"/>
    </row>
    <row r="423" spans="1:39" ht="12.95" customHeight="1">
      <c r="E423" t="s">
        <v>170</v>
      </c>
      <c r="H423" s="1503" t="s">
        <v>2736</v>
      </c>
      <c r="I423" s="1503"/>
      <c r="J423" s="1503"/>
      <c r="K423" s="1503"/>
      <c r="L423" s="1503"/>
      <c r="M423" s="1503"/>
      <c r="N423" s="1503"/>
      <c r="O423" s="1503"/>
      <c r="P423" s="1503"/>
      <c r="Q423" s="1503"/>
      <c r="R423" s="1503"/>
      <c r="S423" s="1503"/>
      <c r="T423" s="1503"/>
      <c r="U423" s="1503"/>
      <c r="V423" s="1503"/>
      <c r="W423" s="1503"/>
      <c r="X423" s="1503"/>
      <c r="Y423" s="1503"/>
      <c r="Z423" s="1503"/>
      <c r="AA423" s="1503"/>
      <c r="AB423" s="1503"/>
      <c r="AC423" s="1503"/>
      <c r="AD423" s="1503"/>
      <c r="AE423" s="1503"/>
    </row>
    <row r="424" spans="1:39" ht="12.95" customHeight="1">
      <c r="H424" s="1504"/>
      <c r="I424" s="1504"/>
      <c r="J424" s="1504"/>
      <c r="K424" s="1504"/>
      <c r="L424" s="1504"/>
      <c r="M424" s="1504"/>
      <c r="N424" s="1504"/>
      <c r="O424" s="1504"/>
      <c r="P424" s="1504"/>
      <c r="Q424" s="1504"/>
      <c r="R424" s="1504"/>
      <c r="S424" s="1504"/>
      <c r="T424" s="1504"/>
      <c r="U424" s="1504"/>
      <c r="V424" s="1504"/>
      <c r="W424" s="1504"/>
      <c r="X424" s="1504"/>
      <c r="Y424" s="1504"/>
      <c r="Z424" s="1504"/>
      <c r="AA424" s="1504"/>
      <c r="AB424" s="1504"/>
      <c r="AC424" s="1504"/>
      <c r="AD424" s="1504"/>
      <c r="AE424" s="1504"/>
    </row>
    <row r="425" spans="1:39" ht="12.95" customHeight="1"/>
    <row r="426" spans="1:39" ht="12.95" customHeight="1">
      <c r="A426" s="2" t="s">
        <v>590</v>
      </c>
      <c r="B426" s="2"/>
      <c r="C426" s="2"/>
      <c r="D426" s="2" t="s">
        <v>114</v>
      </c>
      <c r="AF426" s="2" t="s">
        <v>957</v>
      </c>
    </row>
    <row r="427" spans="1:39" ht="12.95" customHeight="1">
      <c r="E427" s="1270"/>
      <c r="F427" s="1270"/>
      <c r="G427" s="1270"/>
      <c r="H427" s="13" t="s">
        <v>115</v>
      </c>
      <c r="I427" s="1270"/>
      <c r="J427" s="1270"/>
      <c r="K427" s="1270"/>
      <c r="L427" t="s">
        <v>116</v>
      </c>
      <c r="N427" s="27" t="s">
        <v>575</v>
      </c>
      <c r="P427" s="1459">
        <v>8</v>
      </c>
      <c r="Q427" s="1459"/>
      <c r="R427" s="1459"/>
      <c r="S427" t="s">
        <v>117</v>
      </c>
      <c r="W427" s="1458">
        <f>IF(E427&gt;0,(E427*I427),(P427*43560))</f>
        <v>348480</v>
      </c>
      <c r="X427" s="1458"/>
      <c r="Y427" s="1458"/>
      <c r="Z427" t="s">
        <v>118</v>
      </c>
      <c r="AF427" s="1514">
        <f>IFERROR(IF(P427&gt;0,(AG446/P427),(AG446/(W427/43560))),0)</f>
        <v>27.75</v>
      </c>
      <c r="AG427" s="1514"/>
      <c r="AH427" s="1514"/>
      <c r="AM427" s="3"/>
    </row>
    <row r="428" spans="1:39" ht="12.95" customHeight="1">
      <c r="E428" t="s">
        <v>51</v>
      </c>
    </row>
    <row r="429" spans="1:39" ht="12.95" customHeight="1">
      <c r="E429" s="1441"/>
      <c r="F429" s="1441"/>
      <c r="G429" s="1441"/>
      <c r="H429" s="1441"/>
      <c r="I429" s="1441"/>
      <c r="J429" s="1441"/>
      <c r="K429" s="1441"/>
      <c r="L429" s="1441"/>
      <c r="M429" s="1441"/>
      <c r="N429" s="1441"/>
      <c r="O429" s="1441"/>
      <c r="P429" s="1441"/>
      <c r="Q429" s="1441"/>
      <c r="R429" s="1441"/>
      <c r="S429" s="1441"/>
      <c r="T429" s="1441"/>
      <c r="U429" s="1441"/>
      <c r="V429" s="1441"/>
      <c r="W429" s="1441"/>
      <c r="X429" s="1441"/>
      <c r="Y429" s="1441"/>
      <c r="Z429" s="1441"/>
      <c r="AA429" s="1441"/>
      <c r="AB429" s="1441"/>
      <c r="AC429" s="1441"/>
      <c r="AD429" s="1441"/>
      <c r="AE429" s="1441"/>
      <c r="AF429" s="1441"/>
      <c r="AG429" s="1441"/>
      <c r="AH429" s="1441"/>
      <c r="AI429" s="1441"/>
      <c r="AJ429" s="1441"/>
    </row>
    <row r="430" spans="1:39" ht="12.95" customHeight="1">
      <c r="E430" s="118" t="s">
        <v>1724</v>
      </c>
      <c r="F430" s="1008"/>
      <c r="G430" s="1008"/>
      <c r="H430" s="1008"/>
      <c r="I430" s="1427">
        <v>8</v>
      </c>
      <c r="J430" s="1427"/>
      <c r="K430" s="1427"/>
      <c r="L430" s="1008"/>
      <c r="M430" s="118"/>
      <c r="N430" s="1008"/>
      <c r="O430" s="1008"/>
      <c r="P430" s="1508">
        <f>(DU763+DU786+DU808)/I430</f>
        <v>37.5</v>
      </c>
      <c r="Q430" s="1508"/>
      <c r="R430" s="1508"/>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269">
        <v>1</v>
      </c>
      <c r="Q433" s="1269"/>
      <c r="S433" t="s">
        <v>189</v>
      </c>
      <c r="AE433" s="1269">
        <v>1</v>
      </c>
      <c r="AF433" s="1269"/>
    </row>
    <row r="434" spans="1:36" ht="12.95" customHeight="1">
      <c r="E434" t="s">
        <v>190</v>
      </c>
      <c r="P434" s="1269">
        <v>0</v>
      </c>
      <c r="Q434" s="1269"/>
      <c r="S434" t="s">
        <v>131</v>
      </c>
      <c r="AE434" s="1269" t="s">
        <v>591</v>
      </c>
      <c r="AF434" s="1269"/>
    </row>
    <row r="435" spans="1:36" ht="12.95" customHeight="1">
      <c r="F435" s="28" t="s">
        <v>132</v>
      </c>
    </row>
    <row r="436" spans="1:36" ht="12.95" customHeight="1">
      <c r="F436" s="1456"/>
      <c r="G436" s="1456"/>
      <c r="H436" s="1456"/>
      <c r="I436" s="1456"/>
      <c r="J436" s="1456"/>
      <c r="K436" s="1456"/>
      <c r="L436" s="1456"/>
      <c r="M436" s="1456"/>
      <c r="N436" s="1456"/>
      <c r="O436" s="1456"/>
      <c r="P436" s="1456"/>
      <c r="Q436" s="1456"/>
      <c r="R436" s="1456"/>
      <c r="S436" s="1456"/>
      <c r="T436" s="1456"/>
      <c r="U436" s="1456"/>
      <c r="V436" s="1456"/>
      <c r="W436" s="1456"/>
      <c r="X436" s="1456"/>
      <c r="Y436" s="1456"/>
      <c r="Z436" s="1456"/>
      <c r="AA436" s="1456"/>
      <c r="AB436" s="1456"/>
      <c r="AC436" s="1456"/>
      <c r="AD436" s="1456"/>
      <c r="AE436" s="1456"/>
      <c r="AF436" s="1456"/>
      <c r="AG436" s="1456"/>
      <c r="AH436" s="1456"/>
    </row>
    <row r="437" spans="1:36" ht="12.95" customHeight="1">
      <c r="F437" s="1391"/>
      <c r="G437" s="1391"/>
      <c r="H437" s="1391"/>
      <c r="I437" s="1391"/>
      <c r="J437" s="1391"/>
      <c r="K437" s="1391"/>
      <c r="L437" s="1391"/>
      <c r="M437" s="1391"/>
      <c r="N437" s="1391"/>
      <c r="O437" s="1391"/>
      <c r="P437" s="1391"/>
      <c r="Q437" s="1391"/>
      <c r="R437" s="1391"/>
      <c r="S437" s="1391"/>
      <c r="T437" s="1391"/>
      <c r="U437" s="1391"/>
      <c r="V437" s="1391"/>
      <c r="W437" s="1391"/>
      <c r="X437" s="1391"/>
      <c r="Y437" s="1391"/>
      <c r="Z437" s="1391"/>
      <c r="AA437" s="1391"/>
      <c r="AB437" s="1391"/>
      <c r="AC437" s="1391"/>
      <c r="AD437" s="1391"/>
      <c r="AE437" s="1391"/>
      <c r="AF437" s="1391"/>
      <c r="AG437" s="1391"/>
      <c r="AH437" s="1391"/>
    </row>
    <row r="438" spans="1:36" ht="12.95" customHeight="1">
      <c r="E438" t="s">
        <v>608</v>
      </c>
      <c r="P438" s="1"/>
      <c r="Q438" s="1269" t="s">
        <v>545</v>
      </c>
      <c r="R438" s="1269"/>
    </row>
    <row r="439" spans="1:36" ht="12.95" customHeight="1">
      <c r="F439" t="s">
        <v>609</v>
      </c>
      <c r="P439" s="1"/>
      <c r="Q439" s="1"/>
      <c r="AF439" s="1269" t="s">
        <v>591</v>
      </c>
      <c r="AG439" s="1425"/>
    </row>
    <row r="440" spans="1:36" ht="12.95" customHeight="1"/>
    <row r="441" spans="1:36" ht="12.95" customHeight="1">
      <c r="A441" s="2"/>
      <c r="B441" s="2"/>
      <c r="C441" s="2"/>
      <c r="E441" s="4" t="s">
        <v>308</v>
      </c>
      <c r="Z441" s="1269" t="s">
        <v>669</v>
      </c>
      <c r="AA441" s="126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269" t="s">
        <v>591</v>
      </c>
      <c r="AA443" s="1269"/>
    </row>
    <row r="444" spans="1:36" ht="12.95" customHeight="1"/>
    <row r="445" spans="1:36" ht="12.95" customHeight="1">
      <c r="A445" s="2" t="s">
        <v>467</v>
      </c>
      <c r="B445" s="2"/>
      <c r="C445" s="2"/>
      <c r="D445" s="2" t="s">
        <v>764</v>
      </c>
      <c r="AF445" s="48"/>
    </row>
    <row r="446" spans="1:36" ht="12.95" customHeight="1">
      <c r="D446" s="1415" t="s">
        <v>43</v>
      </c>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6"/>
      <c r="AG446" s="1426">
        <v>222</v>
      </c>
      <c r="AH446" s="1426"/>
      <c r="AI446" s="1426"/>
      <c r="AJ446" s="1426"/>
    </row>
    <row r="447" spans="1:36" ht="12.95" customHeight="1">
      <c r="D447" s="1382" t="s">
        <v>1222</v>
      </c>
      <c r="E447" s="1383"/>
      <c r="F447" s="1383"/>
      <c r="G447" s="1383"/>
      <c r="H447" s="1383"/>
      <c r="I447" s="1383"/>
      <c r="J447" s="1383"/>
      <c r="K447" s="1383"/>
      <c r="L447" s="1383"/>
      <c r="M447" s="1383"/>
      <c r="N447" s="1383"/>
      <c r="O447" s="1383"/>
      <c r="P447" s="1383"/>
      <c r="Q447" s="1383"/>
      <c r="R447" s="1383"/>
      <c r="S447" s="1383"/>
      <c r="T447" s="1383"/>
      <c r="U447" s="1383"/>
      <c r="V447" s="1383"/>
      <c r="W447" s="1383"/>
      <c r="X447" s="1383"/>
      <c r="Y447" s="1383"/>
      <c r="Z447" s="1383"/>
      <c r="AA447" s="1383"/>
      <c r="AB447" s="1383"/>
      <c r="AC447" s="1383"/>
      <c r="AD447" s="1383"/>
      <c r="AE447" s="1383"/>
      <c r="AF447" s="1384"/>
      <c r="AG447" s="1460">
        <v>0</v>
      </c>
      <c r="AH447" s="1461"/>
      <c r="AI447" s="1461"/>
      <c r="AJ447" s="1461"/>
    </row>
    <row r="448" spans="1:36" ht="12.95" customHeight="1">
      <c r="D448" s="1382" t="s">
        <v>1031</v>
      </c>
      <c r="E448" s="1383"/>
      <c r="F448" s="1383"/>
      <c r="G448" s="1383"/>
      <c r="H448" s="1383"/>
      <c r="I448" s="1383"/>
      <c r="J448" s="1383"/>
      <c r="K448" s="1383"/>
      <c r="L448" s="1383"/>
      <c r="M448" s="1383"/>
      <c r="N448" s="1383"/>
      <c r="O448" s="1383"/>
      <c r="P448" s="1383"/>
      <c r="Q448" s="1383"/>
      <c r="R448" s="1383"/>
      <c r="S448" s="1383"/>
      <c r="T448" s="1383"/>
      <c r="U448" s="1383"/>
      <c r="V448" s="1383"/>
      <c r="W448" s="1383"/>
      <c r="X448" s="1383"/>
      <c r="Y448" s="1383"/>
      <c r="Z448" s="1383"/>
      <c r="AA448" s="1383"/>
      <c r="AB448" s="1383"/>
      <c r="AC448" s="1383"/>
      <c r="AD448" s="1383"/>
      <c r="AE448" s="1383"/>
      <c r="AF448" s="1384"/>
      <c r="AG448" s="1426">
        <v>220</v>
      </c>
      <c r="AH448" s="1426"/>
      <c r="AI448" s="1426"/>
      <c r="AJ448" s="1426"/>
    </row>
    <row r="449" spans="4:55" ht="12.95" customHeight="1">
      <c r="D449" s="1382" t="s">
        <v>1032</v>
      </c>
      <c r="E449" s="1383"/>
      <c r="F449" s="1383"/>
      <c r="G449" s="1383"/>
      <c r="H449" s="1383"/>
      <c r="I449" s="1383"/>
      <c r="J449" s="1383"/>
      <c r="K449" s="1383"/>
      <c r="L449" s="1383"/>
      <c r="M449" s="1383"/>
      <c r="N449" s="1383"/>
      <c r="O449" s="1383"/>
      <c r="P449" s="1383"/>
      <c r="Q449" s="1383"/>
      <c r="R449" s="1383"/>
      <c r="S449" s="1383"/>
      <c r="T449" s="1383"/>
      <c r="U449" s="1383"/>
      <c r="V449" s="1383"/>
      <c r="W449" s="1383"/>
      <c r="X449" s="1383"/>
      <c r="Y449" s="1383"/>
      <c r="Z449" s="1383"/>
      <c r="AA449" s="1383"/>
      <c r="AB449" s="1383"/>
      <c r="AC449" s="1383"/>
      <c r="AD449" s="1383"/>
      <c r="AE449" s="1383"/>
      <c r="AF449" s="1384"/>
      <c r="AG449" s="1426">
        <v>220</v>
      </c>
      <c r="AH449" s="1426"/>
      <c r="AI449" s="1426"/>
      <c r="AJ449" s="1426"/>
    </row>
    <row r="450" spans="4:55" ht="12.95" customHeight="1">
      <c r="D450" s="1382" t="s">
        <v>1034</v>
      </c>
      <c r="E450" s="1383"/>
      <c r="F450" s="1383"/>
      <c r="G450" s="1383"/>
      <c r="H450" s="1383"/>
      <c r="I450" s="1383"/>
      <c r="J450" s="1383"/>
      <c r="K450" s="1383"/>
      <c r="L450" s="1383"/>
      <c r="M450" s="1383"/>
      <c r="N450" s="1383"/>
      <c r="O450" s="1383"/>
      <c r="P450" s="1383"/>
      <c r="Q450" s="1383"/>
      <c r="R450" s="1383"/>
      <c r="S450" s="1383"/>
      <c r="T450" s="1383"/>
      <c r="U450" s="1383"/>
      <c r="V450" s="1383"/>
      <c r="W450" s="1383"/>
      <c r="X450" s="1383"/>
      <c r="Y450" s="1383"/>
      <c r="Z450" s="1383"/>
      <c r="AA450" s="1383"/>
      <c r="AB450" s="1383"/>
      <c r="AC450" s="1383"/>
      <c r="AD450" s="1383"/>
      <c r="AE450" s="1383"/>
      <c r="AF450" s="1384"/>
      <c r="AG450" s="1397">
        <f>IF(ISERROR(AG449/AG448),0,AG449/AG448)</f>
        <v>1</v>
      </c>
      <c r="AH450" s="1397"/>
      <c r="AI450" s="1397"/>
      <c r="AJ450" s="1397"/>
    </row>
    <row r="451" spans="4:55" ht="12.95" customHeight="1">
      <c r="D451" s="1382" t="s">
        <v>1033</v>
      </c>
      <c r="E451" s="1383"/>
      <c r="F451" s="1383"/>
      <c r="G451" s="1383"/>
      <c r="H451" s="1383"/>
      <c r="I451" s="1383"/>
      <c r="J451" s="1383"/>
      <c r="K451" s="1383"/>
      <c r="L451" s="1383"/>
      <c r="M451" s="1383"/>
      <c r="N451" s="1383"/>
      <c r="O451" s="1383"/>
      <c r="P451" s="1383"/>
      <c r="Q451" s="1383"/>
      <c r="R451" s="1383"/>
      <c r="S451" s="1383"/>
      <c r="T451" s="1383"/>
      <c r="U451" s="1383"/>
      <c r="V451" s="1383"/>
      <c r="W451" s="1383"/>
      <c r="X451" s="1383"/>
      <c r="Y451" s="1383"/>
      <c r="Z451" s="1383"/>
      <c r="AA451" s="1383"/>
      <c r="AB451" s="1383"/>
      <c r="AC451" s="1383"/>
      <c r="AD451" s="1383"/>
      <c r="AE451" s="1383"/>
      <c r="AF451" s="1384"/>
      <c r="AG451" s="1414">
        <v>150540</v>
      </c>
      <c r="AH451" s="1414"/>
      <c r="AI451" s="1414"/>
      <c r="AJ451" s="1414"/>
    </row>
    <row r="452" spans="4:55" ht="12.95" customHeight="1">
      <c r="D452" s="1382" t="s">
        <v>1035</v>
      </c>
      <c r="E452" s="1383"/>
      <c r="F452" s="1383"/>
      <c r="G452" s="1383"/>
      <c r="H452" s="1383"/>
      <c r="I452" s="1383"/>
      <c r="J452" s="1383"/>
      <c r="K452" s="1383"/>
      <c r="L452" s="1383"/>
      <c r="M452" s="1383"/>
      <c r="N452" s="1383"/>
      <c r="O452" s="1383"/>
      <c r="P452" s="1383"/>
      <c r="Q452" s="1383"/>
      <c r="R452" s="1383"/>
      <c r="S452" s="1383"/>
      <c r="T452" s="1383"/>
      <c r="U452" s="1383"/>
      <c r="V452" s="1383"/>
      <c r="W452" s="1383"/>
      <c r="X452" s="1383"/>
      <c r="Y452" s="1383"/>
      <c r="Z452" s="1383"/>
      <c r="AA452" s="1383"/>
      <c r="AB452" s="1383"/>
      <c r="AC452" s="1383"/>
      <c r="AD452" s="1383"/>
      <c r="AE452" s="1383"/>
      <c r="AF452" s="1384"/>
      <c r="AG452" s="1414">
        <v>150540</v>
      </c>
      <c r="AH452" s="1414"/>
      <c r="AI452" s="1414"/>
      <c r="AJ452" s="1414"/>
    </row>
    <row r="453" spans="4:55" ht="12.95" customHeight="1">
      <c r="D453" s="1382" t="s">
        <v>1036</v>
      </c>
      <c r="E453" s="1383"/>
      <c r="F453" s="1383"/>
      <c r="G453" s="1383"/>
      <c r="H453" s="1383"/>
      <c r="I453" s="1383"/>
      <c r="J453" s="1383"/>
      <c r="K453" s="1383"/>
      <c r="L453" s="1383"/>
      <c r="M453" s="1383"/>
      <c r="N453" s="1383"/>
      <c r="O453" s="1383"/>
      <c r="P453" s="1383"/>
      <c r="Q453" s="1383"/>
      <c r="R453" s="1383"/>
      <c r="S453" s="1383"/>
      <c r="T453" s="1383"/>
      <c r="U453" s="1383"/>
      <c r="V453" s="1383"/>
      <c r="W453" s="1383"/>
      <c r="X453" s="1383"/>
      <c r="Y453" s="1383"/>
      <c r="Z453" s="1383"/>
      <c r="AA453" s="1383"/>
      <c r="AB453" s="1383"/>
      <c r="AC453" s="1383"/>
      <c r="AD453" s="1383"/>
      <c r="AE453" s="1383"/>
      <c r="AF453" s="1384"/>
      <c r="AG453" s="1397">
        <f>IF(ISERROR(AG452/AG451),0,AG452/AG451)</f>
        <v>1</v>
      </c>
      <c r="AH453" s="1397"/>
      <c r="AI453" s="1397"/>
      <c r="AJ453" s="1397"/>
    </row>
    <row r="454" spans="4:55" ht="12.95" customHeight="1">
      <c r="D454" s="1382" t="s">
        <v>1037</v>
      </c>
      <c r="E454" s="1383"/>
      <c r="F454" s="1383"/>
      <c r="G454" s="1383"/>
      <c r="H454" s="1383"/>
      <c r="I454" s="1383"/>
      <c r="J454" s="1383"/>
      <c r="K454" s="1383"/>
      <c r="L454" s="1383"/>
      <c r="M454" s="1383"/>
      <c r="N454" s="1383"/>
      <c r="O454" s="1383"/>
      <c r="P454" s="1383"/>
      <c r="Q454" s="1383"/>
      <c r="R454" s="1383"/>
      <c r="S454" s="1383"/>
      <c r="T454" s="1383"/>
      <c r="U454" s="1383"/>
      <c r="V454" s="1383"/>
      <c r="W454" s="1383"/>
      <c r="X454" s="1383"/>
      <c r="Y454" s="1383"/>
      <c r="Z454" s="1383"/>
      <c r="AA454" s="1383"/>
      <c r="AB454" s="1383"/>
      <c r="AC454" s="1383"/>
      <c r="AD454" s="1383"/>
      <c r="AE454" s="1383"/>
      <c r="AF454" s="1384"/>
      <c r="AG454" s="1397">
        <f>MIN(IF(AG450&gt;AG453,AG453,AG450),1)</f>
        <v>1</v>
      </c>
      <c r="AH454" s="1397"/>
      <c r="AI454" s="1397"/>
      <c r="AJ454" s="1397"/>
    </row>
    <row r="455" spans="4:55" ht="12.95" customHeight="1">
      <c r="D455" s="1382" t="s">
        <v>2042</v>
      </c>
      <c r="E455" s="1395"/>
      <c r="F455" s="1395"/>
      <c r="G455" s="1395"/>
      <c r="H455" s="1395"/>
      <c r="I455" s="1395"/>
      <c r="J455" s="1395"/>
      <c r="K455" s="1395"/>
      <c r="L455" s="1395"/>
      <c r="M455" s="1395"/>
      <c r="N455" s="1395"/>
      <c r="O455" s="1395"/>
      <c r="P455" s="1395"/>
      <c r="Q455" s="1395"/>
      <c r="R455" s="1395"/>
      <c r="S455" s="1395"/>
      <c r="T455" s="1395"/>
      <c r="U455" s="1395"/>
      <c r="V455" s="1395"/>
      <c r="W455" s="1395"/>
      <c r="X455" s="1395"/>
      <c r="Y455" s="1395"/>
      <c r="Z455" s="1395"/>
      <c r="AA455" s="1395"/>
      <c r="AB455" s="1395"/>
      <c r="AC455" s="1395"/>
      <c r="AD455" s="1395"/>
      <c r="AE455" s="1395"/>
      <c r="AF455" s="1396"/>
      <c r="AG455" s="1414">
        <v>0</v>
      </c>
      <c r="AH455" s="1414"/>
      <c r="AI455" s="1414"/>
      <c r="AJ455" s="1414"/>
      <c r="AZ455" s="34"/>
      <c r="BA455" s="34"/>
      <c r="BB455" s="34"/>
      <c r="BC455" s="34"/>
    </row>
    <row r="456" spans="4:55" ht="12.95" customHeight="1">
      <c r="D456" s="1415" t="s">
        <v>569</v>
      </c>
      <c r="E456" s="1395"/>
      <c r="F456" s="1395"/>
      <c r="G456" s="1395"/>
      <c r="H456" s="1395"/>
      <c r="I456" s="1395"/>
      <c r="J456" s="1395"/>
      <c r="K456" s="1395"/>
      <c r="L456" s="1395"/>
      <c r="M456" s="1395"/>
      <c r="N456" s="1395"/>
      <c r="O456" s="1395"/>
      <c r="P456" s="1395"/>
      <c r="Q456" s="1395"/>
      <c r="R456" s="1395"/>
      <c r="S456" s="1395"/>
      <c r="T456" s="1395"/>
      <c r="U456" s="1395"/>
      <c r="V456" s="1395"/>
      <c r="W456" s="1395"/>
      <c r="X456" s="1395"/>
      <c r="Y456" s="1395"/>
      <c r="Z456" s="1395"/>
      <c r="AA456" s="1395"/>
      <c r="AB456" s="1395"/>
      <c r="AC456" s="1395"/>
      <c r="AD456" s="1395"/>
      <c r="AE456" s="1395"/>
      <c r="AF456" s="1396"/>
      <c r="AG456" s="1414">
        <v>0</v>
      </c>
      <c r="AH456" s="1414"/>
      <c r="AI456" s="1414"/>
      <c r="AJ456" s="1414"/>
      <c r="AZ456" s="3"/>
      <c r="BA456" s="3"/>
      <c r="BB456" s="3"/>
      <c r="BC456" s="3"/>
    </row>
    <row r="457" spans="4:55" ht="12.95" customHeight="1">
      <c r="D457" s="1382" t="s">
        <v>1205</v>
      </c>
      <c r="E457" s="1395"/>
      <c r="F457" s="1395"/>
      <c r="G457" s="1395"/>
      <c r="H457" s="1395"/>
      <c r="I457" s="1395"/>
      <c r="J457" s="1395"/>
      <c r="K457" s="1395"/>
      <c r="L457" s="1395"/>
      <c r="M457" s="1395"/>
      <c r="N457" s="1395"/>
      <c r="O457" s="1395"/>
      <c r="P457" s="1395"/>
      <c r="Q457" s="1395"/>
      <c r="R457" s="1395"/>
      <c r="S457" s="1395"/>
      <c r="T457" s="1395"/>
      <c r="U457" s="1395"/>
      <c r="V457" s="1395"/>
      <c r="W457" s="1395"/>
      <c r="X457" s="1395"/>
      <c r="Y457" s="1395"/>
      <c r="Z457" s="1395"/>
      <c r="AA457" s="1395"/>
      <c r="AB457" s="1395"/>
      <c r="AC457" s="1395"/>
      <c r="AD457" s="1395"/>
      <c r="AE457" s="1395"/>
      <c r="AF457" s="1396"/>
      <c r="AG457" s="1414">
        <v>71414</v>
      </c>
      <c r="AH457" s="1414"/>
      <c r="AI457" s="1414"/>
      <c r="AJ457" s="1414"/>
      <c r="AZ457" s="3"/>
      <c r="BA457" s="3"/>
      <c r="BB457" s="3"/>
      <c r="BC457" s="3"/>
    </row>
    <row r="458" spans="4:55" ht="12.95" customHeight="1">
      <c r="D458" s="1382" t="s">
        <v>1038</v>
      </c>
      <c r="E458" s="1395"/>
      <c r="F458" s="1395"/>
      <c r="G458" s="1395"/>
      <c r="H458" s="1395"/>
      <c r="I458" s="1395"/>
      <c r="J458" s="1395"/>
      <c r="K458" s="1395"/>
      <c r="L458" s="1395"/>
      <c r="M458" s="1395"/>
      <c r="N458" s="1395"/>
      <c r="O458" s="1395"/>
      <c r="P458" s="1395"/>
      <c r="Q458" s="1395"/>
      <c r="R458" s="1395"/>
      <c r="S458" s="1395"/>
      <c r="T458" s="1395"/>
      <c r="U458" s="1395"/>
      <c r="V458" s="1395"/>
      <c r="W458" s="1395"/>
      <c r="X458" s="1395"/>
      <c r="Y458" s="1395"/>
      <c r="Z458" s="1395"/>
      <c r="AA458" s="1395"/>
      <c r="AB458" s="1395"/>
      <c r="AC458" s="1395"/>
      <c r="AD458" s="1395"/>
      <c r="AE458" s="1395"/>
      <c r="AF458" s="1396"/>
      <c r="AG458" s="1414">
        <v>0</v>
      </c>
      <c r="AH458" s="1414"/>
      <c r="AI458" s="1414"/>
      <c r="AJ458" s="1414"/>
      <c r="BB458" s="3"/>
      <c r="BC458" s="3"/>
    </row>
    <row r="459" spans="4:55" ht="12.95" customHeight="1">
      <c r="D459" s="1505" t="s">
        <v>1039</v>
      </c>
      <c r="E459" s="1506"/>
      <c r="F459" s="1506"/>
      <c r="G459" s="1506"/>
      <c r="H459" s="1506"/>
      <c r="I459" s="1506"/>
      <c r="J459" s="1506"/>
      <c r="K459" s="1506"/>
      <c r="L459" s="1506"/>
      <c r="M459" s="1506"/>
      <c r="N459" s="1506"/>
      <c r="O459" s="1506"/>
      <c r="P459" s="1506"/>
      <c r="Q459" s="1506"/>
      <c r="R459" s="1506"/>
      <c r="S459" s="1506"/>
      <c r="T459" s="1506"/>
      <c r="U459" s="1506"/>
      <c r="V459" s="1506"/>
      <c r="W459" s="1506"/>
      <c r="X459" s="1506"/>
      <c r="Y459" s="1506"/>
      <c r="Z459" s="1506"/>
      <c r="AA459" s="1506"/>
      <c r="AB459" s="1506"/>
      <c r="AC459" s="1506"/>
      <c r="AD459" s="1506"/>
      <c r="AE459" s="1506"/>
      <c r="AF459" s="1507"/>
      <c r="AG459" s="1394">
        <f>AG451+AG455+AG457+AG458</f>
        <v>221954</v>
      </c>
      <c r="AH459" s="1394"/>
      <c r="AI459" s="1394"/>
      <c r="AJ459" s="1394"/>
      <c r="AZ459" s="3"/>
      <c r="BA459" s="3"/>
      <c r="BB459" s="3"/>
      <c r="BC459" s="3"/>
    </row>
    <row r="460" spans="4:55" ht="12.95" customHeight="1">
      <c r="D460" s="1516" t="s">
        <v>1206</v>
      </c>
      <c r="E460" s="1516"/>
      <c r="F460" s="1516"/>
      <c r="G460" s="1516"/>
      <c r="H460" s="1516"/>
      <c r="I460" s="1516"/>
      <c r="J460" s="1516"/>
      <c r="K460" s="1516"/>
      <c r="L460" s="1516"/>
      <c r="M460" s="1516"/>
      <c r="N460" s="1516"/>
      <c r="O460" s="1516"/>
      <c r="P460" s="1516"/>
      <c r="Q460" s="1516"/>
      <c r="R460" s="1516"/>
      <c r="S460" s="1516"/>
      <c r="T460" s="1516"/>
      <c r="U460" s="1516"/>
      <c r="V460" s="1516"/>
      <c r="W460" s="1516"/>
      <c r="X460" s="1516"/>
      <c r="Y460" s="1516"/>
      <c r="Z460" s="1516"/>
      <c r="AA460" s="1516"/>
      <c r="AB460" s="1516"/>
      <c r="AC460" s="1516"/>
      <c r="AD460" s="1516"/>
      <c r="AE460" s="1516"/>
      <c r="AF460" s="1516"/>
      <c r="AG460" s="1516"/>
      <c r="AH460" s="1516"/>
      <c r="AI460" s="1516"/>
      <c r="AJ460" s="1516"/>
      <c r="AZ460" s="3"/>
      <c r="BA460" s="3"/>
      <c r="BB460" s="3"/>
      <c r="BC460" s="3"/>
    </row>
    <row r="461" spans="4:55" ht="12.95" customHeight="1">
      <c r="D461" s="1517"/>
      <c r="E461" s="1517"/>
      <c r="F461" s="1517"/>
      <c r="G461" s="1517"/>
      <c r="H461" s="1517"/>
      <c r="I461" s="1517"/>
      <c r="J461" s="1517"/>
      <c r="K461" s="1517"/>
      <c r="L461" s="1517"/>
      <c r="M461" s="1517"/>
      <c r="N461" s="1517"/>
      <c r="O461" s="1517"/>
      <c r="P461" s="1517"/>
      <c r="Q461" s="1517"/>
      <c r="R461" s="1517"/>
      <c r="S461" s="1517"/>
      <c r="T461" s="1517"/>
      <c r="U461" s="1517"/>
      <c r="V461" s="1517"/>
      <c r="W461" s="1517"/>
      <c r="X461" s="1517"/>
      <c r="Y461" s="1517"/>
      <c r="Z461" s="1517"/>
      <c r="AA461" s="1517"/>
      <c r="AB461" s="1517"/>
      <c r="AC461" s="1517"/>
      <c r="AD461" s="1517"/>
      <c r="AE461" s="1517"/>
      <c r="AF461" s="1517"/>
      <c r="AG461" s="1517"/>
      <c r="AH461" s="1517"/>
      <c r="AI461" s="1517"/>
      <c r="AJ461" s="1517"/>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28">
        <f>IF(AG446=0,"",'Sources and Uses Budget'!B105/Application!AG446)</f>
        <v>326653.87387387385</v>
      </c>
      <c r="AD463" s="1428"/>
      <c r="AE463" s="1428"/>
      <c r="AF463" s="1428"/>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28">
        <f>IF(AG446=0,"",'Sources and Uses Budget'!C105/Application!AG446)</f>
        <v>326653.87387387385</v>
      </c>
      <c r="AD464" s="1428"/>
      <c r="AE464" s="1428"/>
      <c r="AF464" s="1428"/>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28">
        <f>IF(AG446=0,"",('Sources and Uses Budget'!$S$107+'Sources and Uses Budget'!$T$107)/Application!AG446)</f>
        <v>259891.36936936938</v>
      </c>
      <c r="AD465" s="1428"/>
      <c r="AE465" s="1428"/>
      <c r="AF465" s="1428"/>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93" t="s">
        <v>2054</v>
      </c>
      <c r="E473" s="1367"/>
      <c r="F473" s="1367"/>
      <c r="G473" s="1367"/>
      <c r="H473" s="1367"/>
      <c r="I473" s="1367"/>
      <c r="J473" s="1367"/>
      <c r="K473" s="1367"/>
      <c r="L473" s="1367"/>
      <c r="M473" s="1367"/>
      <c r="N473" s="1367"/>
      <c r="O473" s="1367"/>
      <c r="P473" s="1367"/>
      <c r="Q473" s="1367"/>
      <c r="R473" s="1367"/>
      <c r="S473" s="1367"/>
      <c r="T473" s="1367"/>
      <c r="U473" s="1367"/>
      <c r="V473" s="1368"/>
      <c r="W473" s="1433">
        <v>0</v>
      </c>
      <c r="X473" s="1434"/>
      <c r="Y473" s="143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66" t="s">
        <v>693</v>
      </c>
      <c r="E474" s="1367"/>
      <c r="F474" s="1367"/>
      <c r="G474" s="1367"/>
      <c r="H474" s="1367"/>
      <c r="I474" s="1367"/>
      <c r="J474" s="1367"/>
      <c r="K474" s="1367"/>
      <c r="L474" s="1367"/>
      <c r="M474" s="1367"/>
      <c r="N474" s="1367"/>
      <c r="O474" s="1367"/>
      <c r="P474" s="1367"/>
      <c r="Q474" s="1367"/>
      <c r="R474" s="1367"/>
      <c r="S474" s="1367"/>
      <c r="T474" s="1367"/>
      <c r="U474" s="1367"/>
      <c r="V474" s="1368"/>
      <c r="W474" s="1433">
        <v>0</v>
      </c>
      <c r="X474" s="1434"/>
      <c r="Y474" s="143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66" t="s">
        <v>694</v>
      </c>
      <c r="E475" s="1367"/>
      <c r="F475" s="1367"/>
      <c r="G475" s="1367"/>
      <c r="H475" s="1367"/>
      <c r="I475" s="1367"/>
      <c r="J475" s="1367"/>
      <c r="K475" s="1367"/>
      <c r="L475" s="1367"/>
      <c r="M475" s="1367"/>
      <c r="N475" s="1367"/>
      <c r="O475" s="1367"/>
      <c r="P475" s="1367"/>
      <c r="Q475" s="1367"/>
      <c r="R475" s="1367"/>
      <c r="S475" s="1367"/>
      <c r="T475" s="1367"/>
      <c r="U475" s="1367"/>
      <c r="V475" s="1368"/>
      <c r="W475" s="1433">
        <v>0</v>
      </c>
      <c r="X475" s="1434"/>
      <c r="Y475" s="1435"/>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66" t="s">
        <v>695</v>
      </c>
      <c r="E476" s="1367"/>
      <c r="F476" s="1367"/>
      <c r="G476" s="1367"/>
      <c r="H476" s="1367"/>
      <c r="I476" s="1367"/>
      <c r="J476" s="1367"/>
      <c r="K476" s="1367"/>
      <c r="L476" s="1367"/>
      <c r="M476" s="1367"/>
      <c r="N476" s="1367"/>
      <c r="O476" s="1367"/>
      <c r="P476" s="1367"/>
      <c r="Q476" s="1367"/>
      <c r="R476" s="1367"/>
      <c r="S476" s="1367"/>
      <c r="T476" s="1367"/>
      <c r="U476" s="1367"/>
      <c r="V476" s="1368"/>
      <c r="W476" s="1433">
        <v>0</v>
      </c>
      <c r="X476" s="1434"/>
      <c r="Y476" s="1435"/>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66" t="s">
        <v>881</v>
      </c>
      <c r="E477" s="1367"/>
      <c r="F477" s="1367"/>
      <c r="G477" s="1367"/>
      <c r="H477" s="1367"/>
      <c r="I477" s="1367"/>
      <c r="J477" s="1367"/>
      <c r="K477" s="1367"/>
      <c r="L477" s="1367"/>
      <c r="M477" s="1367"/>
      <c r="N477" s="1367"/>
      <c r="O477" s="1367"/>
      <c r="P477" s="1367"/>
      <c r="Q477" s="1367"/>
      <c r="R477" s="1367"/>
      <c r="S477" s="1367"/>
      <c r="T477" s="1367"/>
      <c r="U477" s="1367"/>
      <c r="V477" s="1368"/>
      <c r="W477" s="1433">
        <v>0</v>
      </c>
      <c r="X477" s="1434"/>
      <c r="Y477" s="1435"/>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366" t="s">
        <v>696</v>
      </c>
      <c r="E478" s="1367"/>
      <c r="F478" s="1367"/>
      <c r="G478" s="1367"/>
      <c r="H478" s="1367"/>
      <c r="I478" s="1367"/>
      <c r="J478" s="1367"/>
      <c r="K478" s="1367"/>
      <c r="L478" s="1367"/>
      <c r="M478" s="1367"/>
      <c r="N478" s="1367"/>
      <c r="O478" s="1367"/>
      <c r="P478" s="1367"/>
      <c r="Q478" s="1367"/>
      <c r="R478" s="1367"/>
      <c r="S478" s="1367"/>
      <c r="T478" s="1367"/>
      <c r="U478" s="1367"/>
      <c r="V478" s="1368"/>
      <c r="W478" s="1433">
        <v>0</v>
      </c>
      <c r="X478" s="1434"/>
      <c r="Y478" s="1435"/>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366" t="s">
        <v>1012</v>
      </c>
      <c r="E479" s="1367"/>
      <c r="F479" s="1367"/>
      <c r="G479" s="1367"/>
      <c r="H479" s="1367"/>
      <c r="I479" s="1367"/>
      <c r="J479" s="1367"/>
      <c r="K479" s="1367"/>
      <c r="L479" s="1367"/>
      <c r="M479" s="1367"/>
      <c r="N479" s="1367"/>
      <c r="O479" s="1367"/>
      <c r="P479" s="1367"/>
      <c r="Q479" s="1367"/>
      <c r="R479" s="1367"/>
      <c r="S479" s="1367"/>
      <c r="T479" s="1367"/>
      <c r="U479" s="1367"/>
      <c r="V479" s="1368"/>
      <c r="W479" s="1433">
        <v>0</v>
      </c>
      <c r="X479" s="1434"/>
      <c r="Y479" s="1435"/>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93" t="s">
        <v>2144</v>
      </c>
      <c r="E480" s="1436"/>
      <c r="F480" s="1436"/>
      <c r="G480" s="1436"/>
      <c r="H480" s="1436"/>
      <c r="I480" s="1436"/>
      <c r="J480" s="1436"/>
      <c r="K480" s="1436"/>
      <c r="L480" s="1436"/>
      <c r="M480" s="1436"/>
      <c r="N480" s="1436"/>
      <c r="O480" s="1436"/>
      <c r="P480" s="1436"/>
      <c r="Q480" s="1436"/>
      <c r="R480" s="1436"/>
      <c r="S480" s="1436"/>
      <c r="T480" s="1436"/>
      <c r="U480" s="1436"/>
      <c r="V480" s="1437"/>
      <c r="W480" s="1433">
        <v>0</v>
      </c>
      <c r="X480" s="1434"/>
      <c r="Y480" s="1435"/>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93" t="s">
        <v>1643</v>
      </c>
      <c r="E481" s="1367"/>
      <c r="F481" s="1367"/>
      <c r="G481" s="1367"/>
      <c r="H481" s="1367"/>
      <c r="I481" s="1367"/>
      <c r="J481" s="1367"/>
      <c r="K481" s="1367"/>
      <c r="L481" s="1367"/>
      <c r="M481" s="1367"/>
      <c r="N481" s="1367"/>
      <c r="O481" s="1367"/>
      <c r="P481" s="1367"/>
      <c r="Q481" s="1367"/>
      <c r="R481" s="1367"/>
      <c r="S481" s="1367"/>
      <c r="T481" s="1367"/>
      <c r="U481" s="1367"/>
      <c r="V481" s="1368"/>
      <c r="W481" s="1433">
        <v>0</v>
      </c>
      <c r="X481" s="1434"/>
      <c r="Y481" s="1435"/>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509" t="s">
        <v>2737</v>
      </c>
      <c r="H482" s="1510"/>
      <c r="I482" s="1510"/>
      <c r="J482" s="1510"/>
      <c r="K482" s="1510"/>
      <c r="L482" s="1510"/>
      <c r="M482" s="1510"/>
      <c r="N482" s="1510"/>
      <c r="O482" s="1510"/>
      <c r="P482" s="1510"/>
      <c r="Q482" s="1510"/>
      <c r="R482" s="1510"/>
      <c r="S482" s="1510"/>
      <c r="T482" s="1510"/>
      <c r="U482" s="1510"/>
      <c r="V482" s="1511"/>
      <c r="W482" s="1433">
        <v>220</v>
      </c>
      <c r="X482" s="1434"/>
      <c r="Y482" s="1435"/>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492" t="s">
        <v>810</v>
      </c>
      <c r="B488" s="1492"/>
      <c r="C488" s="1492"/>
      <c r="D488" s="1492"/>
      <c r="E488" s="1492"/>
      <c r="F488" s="1492"/>
      <c r="G488" s="1492"/>
      <c r="H488" s="1492"/>
      <c r="I488" s="1492"/>
      <c r="J488" s="1492"/>
      <c r="K488" s="1492"/>
      <c r="L488" s="1492"/>
      <c r="M488" s="1492"/>
      <c r="N488" s="1492"/>
      <c r="O488" s="1492"/>
      <c r="P488" s="1492"/>
      <c r="Q488" s="1492"/>
      <c r="R488" s="1492"/>
      <c r="S488" s="1492"/>
      <c r="T488" s="1492"/>
      <c r="U488" s="1492"/>
      <c r="V488" s="1492"/>
      <c r="W488" s="1492"/>
      <c r="X488" s="1492"/>
      <c r="Y488" s="1492"/>
      <c r="Z488" s="1492"/>
      <c r="AA488" s="1492"/>
      <c r="AB488" s="1492"/>
      <c r="AC488" s="1492"/>
      <c r="AD488" s="1492"/>
      <c r="AE488" s="1492"/>
      <c r="AF488" s="1492"/>
      <c r="AG488" s="1492"/>
      <c r="AH488" s="1492"/>
      <c r="AI488" s="1492"/>
      <c r="AJ488" s="1492"/>
      <c r="AK488" s="1492"/>
      <c r="AL488" s="1492"/>
      <c r="AM488" s="1492"/>
      <c r="AN488" s="1492"/>
      <c r="AO488" s="1492"/>
      <c r="AP488" s="1492"/>
      <c r="AQ488" s="1492"/>
      <c r="AR488" s="1492"/>
      <c r="AS488" s="1492"/>
      <c r="AT488" s="1492"/>
      <c r="AU488" s="95"/>
      <c r="AV488" s="95"/>
      <c r="AW488" s="95"/>
      <c r="AX488" s="95"/>
      <c r="AY488" s="95"/>
      <c r="AZ488" s="3"/>
      <c r="BB488" s="3"/>
      <c r="BC488" s="3"/>
    </row>
    <row r="489" spans="1:55" ht="12.95" customHeight="1">
      <c r="A489" s="1492"/>
      <c r="B489" s="1492"/>
      <c r="C489" s="1492"/>
      <c r="D489" s="1492"/>
      <c r="E489" s="1492"/>
      <c r="F489" s="1492"/>
      <c r="G489" s="1492"/>
      <c r="H489" s="1492"/>
      <c r="I489" s="1492"/>
      <c r="J489" s="1492"/>
      <c r="K489" s="1492"/>
      <c r="L489" s="1492"/>
      <c r="M489" s="1492"/>
      <c r="N489" s="1492"/>
      <c r="O489" s="1492"/>
      <c r="P489" s="1492"/>
      <c r="Q489" s="1492"/>
      <c r="R489" s="1492"/>
      <c r="S489" s="1492"/>
      <c r="T489" s="1492"/>
      <c r="U489" s="1492"/>
      <c r="V489" s="1492"/>
      <c r="W489" s="1492"/>
      <c r="X489" s="1492"/>
      <c r="Y489" s="1492"/>
      <c r="Z489" s="1492"/>
      <c r="AA489" s="1492"/>
      <c r="AB489" s="1492"/>
      <c r="AC489" s="1492"/>
      <c r="AD489" s="1492"/>
      <c r="AE489" s="1492"/>
      <c r="AF489" s="1492"/>
      <c r="AG489" s="1492"/>
      <c r="AH489" s="1492"/>
      <c r="AI489" s="1492"/>
      <c r="AJ489" s="1492"/>
      <c r="AK489" s="1492"/>
      <c r="AL489" s="1492"/>
      <c r="AM489" s="1492"/>
      <c r="AN489" s="1492"/>
      <c r="AO489" s="1492"/>
      <c r="AP489" s="1492"/>
      <c r="AQ489" s="1492"/>
      <c r="AR489" s="1492"/>
      <c r="AS489" s="1492"/>
      <c r="AT489" s="1492"/>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23" t="s">
        <v>393</v>
      </c>
      <c r="R493" s="1424"/>
      <c r="S493" s="1424"/>
      <c r="T493" s="1424"/>
      <c r="U493" s="1424"/>
      <c r="V493" s="1424"/>
      <c r="W493" s="1424"/>
      <c r="X493" s="1424"/>
      <c r="Y493" s="1424"/>
      <c r="Z493" s="1424"/>
      <c r="AA493" s="1424"/>
      <c r="AB493" s="1424"/>
      <c r="AC493" s="1424"/>
      <c r="AD493" s="1424"/>
      <c r="AE493" s="1424"/>
      <c r="AF493" s="1424"/>
      <c r="AG493" s="1424"/>
      <c r="AH493" s="1424"/>
      <c r="AI493" s="1424"/>
      <c r="AJ493" s="1424"/>
      <c r="AK493" s="1432"/>
      <c r="AZ493" s="3"/>
      <c r="BB493" s="3"/>
      <c r="BC493" s="3"/>
    </row>
    <row r="494" spans="1:55" ht="12.95" customHeight="1">
      <c r="B494" s="45" t="s">
        <v>394</v>
      </c>
      <c r="C494" s="5"/>
      <c r="D494" s="5"/>
      <c r="E494" s="5"/>
      <c r="F494" s="5"/>
      <c r="G494" s="5"/>
      <c r="H494" s="5"/>
      <c r="I494" s="5"/>
      <c r="J494" s="5"/>
      <c r="K494" s="5"/>
      <c r="L494" s="5"/>
      <c r="M494" s="5"/>
      <c r="N494" s="5"/>
      <c r="O494" s="5"/>
      <c r="P494" s="5"/>
      <c r="Q494" s="1411" t="s">
        <v>2738</v>
      </c>
      <c r="R494" s="1271"/>
      <c r="S494" s="1271"/>
      <c r="T494" s="1271"/>
      <c r="U494" s="1271"/>
      <c r="V494" s="1271"/>
      <c r="W494" s="1271"/>
      <c r="X494" s="1271"/>
      <c r="Y494" s="1271"/>
      <c r="Z494" s="1271"/>
      <c r="AA494" s="1271"/>
      <c r="AB494" s="1271"/>
      <c r="AC494" s="1271"/>
      <c r="AD494" s="1271"/>
      <c r="AE494" s="1271"/>
      <c r="AF494" s="1271"/>
      <c r="AG494" s="1271"/>
      <c r="AH494" s="1271"/>
      <c r="AI494" s="1271"/>
      <c r="AJ494" s="1271"/>
      <c r="AK494" s="1412"/>
      <c r="AZ494" s="3"/>
      <c r="BB494" s="3"/>
      <c r="BC494" s="3"/>
    </row>
    <row r="495" spans="1:55" ht="12.95" customHeight="1">
      <c r="B495" s="45" t="s">
        <v>395</v>
      </c>
      <c r="C495" s="5"/>
      <c r="D495" s="5"/>
      <c r="E495" s="5"/>
      <c r="F495" s="5"/>
      <c r="G495" s="5"/>
      <c r="H495" s="5"/>
      <c r="I495" s="5"/>
      <c r="J495" s="5"/>
      <c r="K495" s="5"/>
      <c r="L495" s="5"/>
      <c r="M495" s="5"/>
      <c r="N495" s="5"/>
      <c r="O495" s="5"/>
      <c r="P495" s="5"/>
      <c r="Q495" s="1411" t="s">
        <v>2739</v>
      </c>
      <c r="R495" s="1271"/>
      <c r="S495" s="1271"/>
      <c r="T495" s="1271"/>
      <c r="U495" s="1271"/>
      <c r="V495" s="1271"/>
      <c r="W495" s="1271"/>
      <c r="X495" s="1271"/>
      <c r="Y495" s="1271"/>
      <c r="Z495" s="1271"/>
      <c r="AA495" s="1271"/>
      <c r="AB495" s="1271"/>
      <c r="AC495" s="1271"/>
      <c r="AD495" s="1271"/>
      <c r="AE495" s="1271"/>
      <c r="AF495" s="1271"/>
      <c r="AG495" s="1271"/>
      <c r="AH495" s="1271"/>
      <c r="AI495" s="1271"/>
      <c r="AJ495" s="1271"/>
      <c r="AK495" s="1412"/>
      <c r="AZ495" s="3"/>
      <c r="BB495" s="3"/>
      <c r="BC495" s="3"/>
    </row>
    <row r="496" spans="1:55" ht="12.95" customHeight="1">
      <c r="B496" s="45" t="s">
        <v>396</v>
      </c>
      <c r="C496" s="5"/>
      <c r="D496" s="5"/>
      <c r="E496" s="5"/>
      <c r="F496" s="5"/>
      <c r="G496" s="5"/>
      <c r="H496" s="5"/>
      <c r="I496" s="5"/>
      <c r="J496" s="5"/>
      <c r="K496" s="5"/>
      <c r="L496" s="5"/>
      <c r="M496" s="5"/>
      <c r="N496" s="5"/>
      <c r="O496" s="5"/>
      <c r="P496" s="5"/>
      <c r="Q496" s="1411" t="s">
        <v>2739</v>
      </c>
      <c r="R496" s="1271"/>
      <c r="S496" s="1271"/>
      <c r="T496" s="1271"/>
      <c r="U496" s="1271"/>
      <c r="V496" s="1271"/>
      <c r="W496" s="1271"/>
      <c r="X496" s="1271"/>
      <c r="Y496" s="1271"/>
      <c r="Z496" s="1271"/>
      <c r="AA496" s="1271"/>
      <c r="AB496" s="1271"/>
      <c r="AC496" s="1271"/>
      <c r="AD496" s="1271"/>
      <c r="AE496" s="1271"/>
      <c r="AF496" s="1271"/>
      <c r="AG496" s="1271"/>
      <c r="AH496" s="1271"/>
      <c r="AI496" s="1271"/>
      <c r="AJ496" s="1271"/>
      <c r="AK496" s="1412"/>
      <c r="AZ496" s="3"/>
      <c r="BA496" s="3"/>
      <c r="BB496" s="3"/>
      <c r="BC496" s="3"/>
    </row>
    <row r="497" spans="1:66" ht="12.95" customHeight="1">
      <c r="B497" s="1401" t="s">
        <v>397</v>
      </c>
      <c r="C497" s="1402"/>
      <c r="D497" s="1402"/>
      <c r="E497" s="1402"/>
      <c r="F497" s="1402"/>
      <c r="G497" s="1402"/>
      <c r="H497" s="1402"/>
      <c r="I497" s="1402"/>
      <c r="J497" s="1402"/>
      <c r="K497" s="1402"/>
      <c r="L497" s="1402"/>
      <c r="M497" s="1402"/>
      <c r="N497" s="1402"/>
      <c r="O497" s="1402"/>
      <c r="P497" s="1403"/>
      <c r="Q497" s="1407" t="s">
        <v>669</v>
      </c>
      <c r="R497" s="1408"/>
      <c r="S497" s="1387" t="s">
        <v>166</v>
      </c>
      <c r="T497" s="1388"/>
      <c r="U497" s="1388"/>
      <c r="V497" s="1388"/>
      <c r="W497" s="1388"/>
      <c r="X497" s="1388"/>
      <c r="Y497" s="1388"/>
      <c r="Z497" s="1388"/>
      <c r="AA497" s="1388"/>
      <c r="AB497" s="1388"/>
      <c r="AC497" s="1388"/>
      <c r="AD497" s="1388"/>
      <c r="AE497" s="1388"/>
      <c r="AF497" s="1388"/>
      <c r="AG497" s="1388"/>
      <c r="AH497" s="1388"/>
      <c r="AI497" s="1388"/>
      <c r="AJ497" s="1388"/>
      <c r="AK497" s="1389"/>
      <c r="AZ497" s="3"/>
      <c r="BA497" s="3"/>
      <c r="BB497" s="3"/>
      <c r="BC497" s="3"/>
    </row>
    <row r="498" spans="1:66" ht="12.95" customHeight="1">
      <c r="B498" s="1404"/>
      <c r="C498" s="1405"/>
      <c r="D498" s="1405"/>
      <c r="E498" s="1405"/>
      <c r="F498" s="1405"/>
      <c r="G498" s="1405"/>
      <c r="H498" s="1405"/>
      <c r="I498" s="1405"/>
      <c r="J498" s="1405"/>
      <c r="K498" s="1405"/>
      <c r="L498" s="1405"/>
      <c r="M498" s="1405"/>
      <c r="N498" s="1405"/>
      <c r="O498" s="1405"/>
      <c r="P498" s="1406"/>
      <c r="Q498" s="1409"/>
      <c r="R498" s="1410"/>
      <c r="S498" s="1390"/>
      <c r="T498" s="1391"/>
      <c r="U498" s="1391"/>
      <c r="V498" s="1391"/>
      <c r="W498" s="1391"/>
      <c r="X498" s="1391"/>
      <c r="Y498" s="1391"/>
      <c r="Z498" s="1391"/>
      <c r="AA498" s="1391"/>
      <c r="AB498" s="1391"/>
      <c r="AC498" s="1391"/>
      <c r="AD498" s="1391"/>
      <c r="AE498" s="1391"/>
      <c r="AF498" s="1391"/>
      <c r="AG498" s="1391"/>
      <c r="AH498" s="1391"/>
      <c r="AI498" s="1391"/>
      <c r="AJ498" s="1391"/>
      <c r="AK498" s="1392"/>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429" t="s">
        <v>669</v>
      </c>
      <c r="R499" s="1430"/>
      <c r="S499" s="1430"/>
      <c r="T499" s="1430"/>
      <c r="U499" s="1430"/>
      <c r="V499" s="1430"/>
      <c r="W499" s="1430"/>
      <c r="X499" s="1430"/>
      <c r="Y499" s="1430"/>
      <c r="Z499" s="1430"/>
      <c r="AA499" s="1430"/>
      <c r="AB499" s="1430"/>
      <c r="AC499" s="1430"/>
      <c r="AD499" s="1430"/>
      <c r="AE499" s="1430"/>
      <c r="AF499" s="1430"/>
      <c r="AG499" s="1430"/>
      <c r="AH499" s="1430"/>
      <c r="AI499" s="1430"/>
      <c r="AJ499" s="1430"/>
      <c r="AK499" s="1431"/>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11">
        <v>15</v>
      </c>
      <c r="R500" s="1271"/>
      <c r="S500" s="1271"/>
      <c r="T500" s="1271"/>
      <c r="U500" s="1271"/>
      <c r="V500" s="1271"/>
      <c r="W500" s="1271"/>
      <c r="X500" s="1271"/>
      <c r="Y500" s="1271"/>
      <c r="Z500" s="1271"/>
      <c r="AA500" s="1271"/>
      <c r="AB500" s="1271"/>
      <c r="AC500" s="1271"/>
      <c r="AD500" s="1271"/>
      <c r="AE500" s="1271"/>
      <c r="AF500" s="1271"/>
      <c r="AG500" s="1271"/>
      <c r="AH500" s="1271"/>
      <c r="AI500" s="1271"/>
      <c r="AJ500" s="1271"/>
      <c r="AK500" s="1412"/>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11">
        <v>0.75</v>
      </c>
      <c r="R501" s="1271"/>
      <c r="S501" s="1271"/>
      <c r="T501" s="1271"/>
      <c r="U501" s="1271"/>
      <c r="V501" s="1271"/>
      <c r="W501" s="1271"/>
      <c r="X501" s="1271"/>
      <c r="Y501" s="1271"/>
      <c r="Z501" s="1271"/>
      <c r="AA501" s="1271"/>
      <c r="AB501" s="1271"/>
      <c r="AC501" s="1271"/>
      <c r="AD501" s="1271"/>
      <c r="AE501" s="1271"/>
      <c r="AF501" s="1271"/>
      <c r="AG501" s="1271"/>
      <c r="AH501" s="1271"/>
      <c r="AI501" s="1271"/>
      <c r="AJ501" s="1271"/>
      <c r="AK501" s="1412"/>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411">
        <v>169</v>
      </c>
      <c r="R502" s="1271"/>
      <c r="S502" s="1271"/>
      <c r="T502" s="1271"/>
      <c r="U502" s="1271"/>
      <c r="V502" s="1271"/>
      <c r="W502" s="1271"/>
      <c r="X502" s="1271"/>
      <c r="Y502" s="1271"/>
      <c r="Z502" s="1271"/>
      <c r="AA502" s="1271"/>
      <c r="AB502" s="1271"/>
      <c r="AC502" s="1271"/>
      <c r="AD502" s="1271"/>
      <c r="AE502" s="1271"/>
      <c r="AF502" s="1271"/>
      <c r="AG502" s="1271"/>
      <c r="AH502" s="1271"/>
      <c r="AI502" s="1271"/>
      <c r="AJ502" s="1271"/>
      <c r="AK502" s="1412"/>
      <c r="AZ502" s="3"/>
      <c r="BA502" s="3"/>
      <c r="BB502" s="3"/>
      <c r="BC502" s="3"/>
    </row>
    <row r="503" spans="1:66" ht="12.95" customHeight="1">
      <c r="B503" s="121" t="s">
        <v>1658</v>
      </c>
      <c r="C503" s="5"/>
      <c r="D503" s="5"/>
      <c r="E503" s="5"/>
      <c r="F503" s="5"/>
      <c r="G503" s="5"/>
      <c r="H503" s="5"/>
      <c r="I503" s="5"/>
      <c r="J503" s="5"/>
      <c r="K503" s="5"/>
      <c r="L503" s="5"/>
      <c r="M503" s="1385"/>
      <c r="N503" s="1275"/>
      <c r="O503" s="1275"/>
      <c r="P503" s="1386"/>
      <c r="Q503" s="121" t="s">
        <v>1659</v>
      </c>
      <c r="R503" s="5"/>
      <c r="S503" s="5"/>
      <c r="T503" s="5"/>
      <c r="U503" s="5"/>
      <c r="V503" s="5"/>
      <c r="W503" s="5"/>
      <c r="X503" s="5"/>
      <c r="Y503" s="5"/>
      <c r="Z503" s="5"/>
      <c r="AA503" s="5"/>
      <c r="AB503" s="5"/>
      <c r="AC503" s="5"/>
      <c r="AD503" s="5"/>
      <c r="AE503" s="5"/>
      <c r="AF503" s="5"/>
      <c r="AG503" s="5"/>
      <c r="AH503" s="1385">
        <v>169</v>
      </c>
      <c r="AI503" s="1275"/>
      <c r="AJ503" s="1275"/>
      <c r="AK503" s="1386"/>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23" t="s">
        <v>401</v>
      </c>
      <c r="AD507" s="1424"/>
      <c r="AE507" s="1424"/>
      <c r="AF507" s="1424"/>
      <c r="AG507" s="1424"/>
      <c r="AH507" s="1424"/>
      <c r="AI507" s="1424"/>
      <c r="AJ507" s="1424"/>
      <c r="AK507" s="1432"/>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23" t="s">
        <v>402</v>
      </c>
      <c r="AD508" s="1424"/>
      <c r="AE508" s="1424"/>
      <c r="AF508" s="1424"/>
      <c r="AG508" s="50" t="s">
        <v>403</v>
      </c>
      <c r="AH508" s="1424" t="s">
        <v>404</v>
      </c>
      <c r="AI508" s="1424"/>
      <c r="AJ508" s="1424"/>
      <c r="AK508" s="1432"/>
      <c r="AZ508" s="3"/>
      <c r="BA508" s="3"/>
      <c r="BB508" s="3"/>
      <c r="BC508" s="3"/>
      <c r="BD508" s="3"/>
      <c r="BE508" s="3"/>
      <c r="BF508" s="3"/>
      <c r="BG508" s="3"/>
      <c r="BH508" s="3"/>
      <c r="BI508" s="3"/>
      <c r="BJ508" s="3"/>
      <c r="BK508" s="3"/>
      <c r="BL508" s="3"/>
      <c r="BM508" s="3"/>
      <c r="BN508" s="3"/>
    </row>
    <row r="509" spans="1:66" ht="12.95" customHeight="1">
      <c r="B509" s="1333" t="s">
        <v>405</v>
      </c>
      <c r="C509" s="1334"/>
      <c r="D509" s="1334"/>
      <c r="E509" s="1334"/>
      <c r="F509" s="1334"/>
      <c r="G509" s="1334"/>
      <c r="H509" s="1335"/>
      <c r="I509" s="42" t="s">
        <v>406</v>
      </c>
      <c r="J509" s="42"/>
      <c r="K509" s="42"/>
      <c r="L509" s="42"/>
      <c r="M509" s="42"/>
      <c r="N509" s="42"/>
      <c r="O509" s="42"/>
      <c r="P509" s="42"/>
      <c r="Q509" s="42"/>
      <c r="R509" s="42"/>
      <c r="S509" s="42"/>
      <c r="T509" s="42"/>
      <c r="U509" s="42"/>
      <c r="V509" s="42"/>
      <c r="W509" s="42"/>
      <c r="AC509" s="1344" t="s">
        <v>591</v>
      </c>
      <c r="AD509" s="1276"/>
      <c r="AE509" s="1276"/>
      <c r="AF509" s="1276"/>
      <c r="AG509" s="13" t="s">
        <v>403</v>
      </c>
      <c r="AH509" s="1358">
        <v>0</v>
      </c>
      <c r="AI509" s="1358"/>
      <c r="AJ509" s="1358"/>
      <c r="AK509" s="1359"/>
      <c r="AZ509" s="3"/>
      <c r="BA509" s="3"/>
      <c r="BB509" s="3"/>
      <c r="BC509" s="3"/>
      <c r="BD509" s="3"/>
      <c r="BE509" s="3"/>
      <c r="BF509" s="3"/>
      <c r="BG509" s="3"/>
      <c r="BH509" s="3"/>
      <c r="BI509" s="3"/>
      <c r="BJ509" s="3"/>
      <c r="BK509" s="3"/>
      <c r="BL509" s="3"/>
      <c r="BM509" s="3"/>
      <c r="BN509" s="3"/>
    </row>
    <row r="510" spans="1:66" ht="12.95" customHeight="1">
      <c r="B510" s="1336"/>
      <c r="C510" s="1337"/>
      <c r="D510" s="1337"/>
      <c r="E510" s="1337"/>
      <c r="F510" s="1337"/>
      <c r="G510" s="1337"/>
      <c r="H510" s="1338"/>
      <c r="I510" s="48" t="s">
        <v>407</v>
      </c>
      <c r="J510" s="48"/>
      <c r="K510" s="48"/>
      <c r="L510" s="48"/>
      <c r="M510" s="48"/>
      <c r="N510" s="48"/>
      <c r="O510" s="48"/>
      <c r="P510" s="48"/>
      <c r="Q510" s="48"/>
      <c r="R510" s="48"/>
      <c r="S510" s="48"/>
      <c r="T510" s="48"/>
      <c r="U510" s="48"/>
      <c r="V510" s="48"/>
      <c r="W510" s="48"/>
      <c r="X510" s="48"/>
      <c r="Y510" s="48"/>
      <c r="Z510" s="48"/>
      <c r="AA510" s="48"/>
      <c r="AB510" s="48"/>
      <c r="AC510" s="1344">
        <v>11</v>
      </c>
      <c r="AD510" s="1276"/>
      <c r="AE510" s="1276"/>
      <c r="AF510" s="1276"/>
      <c r="AG510" s="38" t="s">
        <v>403</v>
      </c>
      <c r="AH510" s="1358">
        <v>2026</v>
      </c>
      <c r="AI510" s="1358"/>
      <c r="AJ510" s="1358"/>
      <c r="AK510" s="1359"/>
      <c r="AZ510" s="3"/>
      <c r="BA510" s="3"/>
      <c r="BB510" s="3"/>
      <c r="BC510" s="3"/>
      <c r="BD510" s="3"/>
      <c r="BE510" s="3"/>
      <c r="BF510" s="3"/>
      <c r="BG510" s="3"/>
      <c r="BH510" s="3"/>
      <c r="BI510" s="3"/>
      <c r="BJ510" s="3"/>
      <c r="BK510" s="3"/>
      <c r="BL510" s="3"/>
      <c r="BM510" s="3"/>
      <c r="BN510" s="3"/>
    </row>
    <row r="511" spans="1:66" ht="12.95" customHeight="1">
      <c r="B511" s="1333" t="s">
        <v>408</v>
      </c>
      <c r="C511" s="1334"/>
      <c r="D511" s="1334"/>
      <c r="E511" s="1334"/>
      <c r="F511" s="1334"/>
      <c r="G511" s="1334"/>
      <c r="H511" s="1335"/>
      <c r="I511" s="42" t="s">
        <v>409</v>
      </c>
      <c r="J511" s="42"/>
      <c r="K511" s="42"/>
      <c r="L511" s="42"/>
      <c r="M511" s="42"/>
      <c r="N511" s="42"/>
      <c r="O511" s="42"/>
      <c r="P511" s="42"/>
      <c r="Q511" s="42"/>
      <c r="R511" s="42"/>
      <c r="S511" s="42"/>
      <c r="T511" s="42"/>
      <c r="U511" s="42"/>
      <c r="V511" s="42"/>
      <c r="W511" s="42"/>
      <c r="AC511" s="1344" t="s">
        <v>591</v>
      </c>
      <c r="AD511" s="1276"/>
      <c r="AE511" s="1276"/>
      <c r="AF511" s="1276"/>
      <c r="AG511" s="13" t="s">
        <v>403</v>
      </c>
      <c r="AH511" s="1358"/>
      <c r="AI511" s="1358"/>
      <c r="AJ511" s="1358"/>
      <c r="AK511" s="1359"/>
      <c r="AZ511" s="3"/>
      <c r="BA511" s="3"/>
      <c r="BB511" s="3"/>
      <c r="BC511" s="3"/>
      <c r="BD511" s="3"/>
      <c r="BE511" s="3"/>
      <c r="BF511" s="3"/>
      <c r="BG511" s="3"/>
      <c r="BH511" s="3"/>
      <c r="BI511" s="3"/>
      <c r="BJ511" s="3"/>
      <c r="BK511" s="3"/>
      <c r="BL511" s="3"/>
      <c r="BM511" s="3"/>
      <c r="BN511" s="3"/>
    </row>
    <row r="512" spans="1:66" ht="12.95" customHeight="1">
      <c r="B512" s="1336"/>
      <c r="C512" s="1337"/>
      <c r="D512" s="1337"/>
      <c r="E512" s="1337"/>
      <c r="F512" s="1337"/>
      <c r="G512" s="1337"/>
      <c r="H512" s="1338"/>
      <c r="I512" t="s">
        <v>410</v>
      </c>
      <c r="AC512" s="1344" t="s">
        <v>591</v>
      </c>
      <c r="AD512" s="1276"/>
      <c r="AE512" s="1276"/>
      <c r="AF512" s="1276"/>
      <c r="AG512" s="13" t="s">
        <v>403</v>
      </c>
      <c r="AH512" s="1358"/>
      <c r="AI512" s="1358"/>
      <c r="AJ512" s="1358"/>
      <c r="AK512" s="1359"/>
      <c r="AZ512" s="3"/>
      <c r="BA512" s="3"/>
      <c r="BB512" s="3"/>
      <c r="BC512" s="3"/>
      <c r="BD512" s="3"/>
      <c r="BE512" s="3"/>
      <c r="BF512" s="3"/>
      <c r="BG512" s="3"/>
      <c r="BH512" s="3"/>
      <c r="BI512" s="3"/>
      <c r="BJ512" s="3"/>
      <c r="BK512" s="3"/>
      <c r="BL512" s="3"/>
      <c r="BM512" s="3"/>
      <c r="BN512" s="3"/>
    </row>
    <row r="513" spans="2:66" ht="12.95" customHeight="1">
      <c r="B513" s="1336"/>
      <c r="C513" s="1337"/>
      <c r="D513" s="1337"/>
      <c r="E513" s="1337"/>
      <c r="F513" s="1337"/>
      <c r="G513" s="1337"/>
      <c r="H513" s="1338"/>
      <c r="I513" t="s">
        <v>411</v>
      </c>
      <c r="AC513" s="1344" t="s">
        <v>591</v>
      </c>
      <c r="AD513" s="1276"/>
      <c r="AE513" s="1276"/>
      <c r="AF513" s="1276"/>
      <c r="AG513" s="13" t="s">
        <v>403</v>
      </c>
      <c r="AH513" s="1358"/>
      <c r="AI513" s="1358"/>
      <c r="AJ513" s="1358"/>
      <c r="AK513" s="1359"/>
      <c r="AZ513" s="3"/>
      <c r="BA513" s="3"/>
      <c r="BB513" s="3"/>
      <c r="BC513" s="3"/>
      <c r="BD513" s="3"/>
      <c r="BE513" s="3"/>
      <c r="BF513" s="3"/>
      <c r="BG513" s="3"/>
      <c r="BH513" s="3"/>
      <c r="BI513" s="3"/>
      <c r="BJ513" s="3"/>
      <c r="BK513" s="3"/>
      <c r="BL513" s="3"/>
      <c r="BM513" s="3"/>
      <c r="BN513" s="3"/>
    </row>
    <row r="514" spans="2:66" ht="12.95" customHeight="1">
      <c r="B514" s="1336"/>
      <c r="C514" s="1337"/>
      <c r="D514" s="1337"/>
      <c r="E514" s="1337"/>
      <c r="F514" s="1337"/>
      <c r="G514" s="1337"/>
      <c r="H514" s="1338"/>
      <c r="I514" t="s">
        <v>412</v>
      </c>
      <c r="AC514" s="1344" t="s">
        <v>591</v>
      </c>
      <c r="AD514" s="1276"/>
      <c r="AE514" s="1276"/>
      <c r="AF514" s="1276"/>
      <c r="AG514" s="13" t="s">
        <v>403</v>
      </c>
      <c r="AH514" s="1358"/>
      <c r="AI514" s="1358"/>
      <c r="AJ514" s="1358"/>
      <c r="AK514" s="1359"/>
      <c r="AZ514" s="3"/>
      <c r="BA514" s="3"/>
      <c r="BB514" s="3"/>
      <c r="BC514" s="3"/>
      <c r="BD514" s="3"/>
      <c r="BE514" s="3"/>
      <c r="BF514" s="3"/>
      <c r="BG514" s="3"/>
      <c r="BH514" s="3"/>
      <c r="BI514" s="3"/>
      <c r="BJ514" s="3"/>
      <c r="BK514" s="3"/>
      <c r="BL514" s="3"/>
      <c r="BM514" s="3"/>
      <c r="BN514" s="3"/>
    </row>
    <row r="515" spans="2:66" ht="12.95" customHeight="1">
      <c r="B515" s="1336"/>
      <c r="C515" s="1337"/>
      <c r="D515" s="1337"/>
      <c r="E515" s="1337"/>
      <c r="F515" s="1337"/>
      <c r="G515" s="1337"/>
      <c r="H515" s="1338"/>
      <c r="I515" s="3" t="s">
        <v>413</v>
      </c>
      <c r="AC515" s="1305">
        <v>11</v>
      </c>
      <c r="AD515" s="1306"/>
      <c r="AE515" s="1306"/>
      <c r="AF515" s="1306"/>
      <c r="AG515" s="13" t="s">
        <v>403</v>
      </c>
      <c r="AH515" s="1358">
        <v>2026</v>
      </c>
      <c r="AI515" s="1358"/>
      <c r="AJ515" s="1358"/>
      <c r="AK515" s="1359"/>
      <c r="AZ515" s="3"/>
      <c r="BA515" s="3"/>
      <c r="BB515" s="3"/>
      <c r="BC515" s="3"/>
      <c r="BD515" s="3"/>
      <c r="BE515" s="3"/>
      <c r="BF515" s="3"/>
      <c r="BG515" s="3"/>
      <c r="BH515" s="3"/>
      <c r="BI515" s="3"/>
      <c r="BJ515" s="3"/>
      <c r="BK515" s="3"/>
      <c r="BL515" s="3"/>
      <c r="BM515" s="3"/>
      <c r="BN515" s="3"/>
    </row>
    <row r="516" spans="2:66" ht="12.95" customHeight="1">
      <c r="B516" s="1336"/>
      <c r="C516" s="1337"/>
      <c r="D516" s="1337"/>
      <c r="E516" s="1337"/>
      <c r="F516" s="1337"/>
      <c r="G516" s="1337"/>
      <c r="H516" s="1338"/>
      <c r="I516" s="892" t="s">
        <v>170</v>
      </c>
      <c r="J516" s="48"/>
      <c r="K516" s="48"/>
      <c r="L516" s="1380" t="s">
        <v>334</v>
      </c>
      <c r="M516" s="1381"/>
      <c r="N516" s="1381"/>
      <c r="O516" s="1381"/>
      <c r="P516" s="1381"/>
      <c r="Q516" s="1381"/>
      <c r="R516" s="1381"/>
      <c r="S516" s="1381"/>
      <c r="T516" s="1381"/>
      <c r="U516" s="1381"/>
      <c r="V516" s="1381"/>
      <c r="W516" s="1381"/>
      <c r="X516" s="1381"/>
      <c r="Y516" s="1381"/>
      <c r="Z516" s="1381"/>
      <c r="AA516" s="1381"/>
      <c r="AB516" s="1413"/>
      <c r="AC516" s="1344" t="s">
        <v>591</v>
      </c>
      <c r="AD516" s="1276"/>
      <c r="AE516" s="1276"/>
      <c r="AF516" s="1276"/>
      <c r="AG516" s="38" t="s">
        <v>403</v>
      </c>
      <c r="AH516" s="1358"/>
      <c r="AI516" s="1358"/>
      <c r="AJ516" s="1358"/>
      <c r="AK516" s="1359"/>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26" t="s">
        <v>1184</v>
      </c>
      <c r="AD517" s="1426"/>
      <c r="AE517" s="1426"/>
      <c r="AF517" s="1426"/>
      <c r="AG517" s="13"/>
      <c r="AH517" s="1438"/>
      <c r="AI517" s="1438"/>
      <c r="AJ517" s="1438"/>
      <c r="AK517" s="1439"/>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05"/>
      <c r="AD518" s="1306"/>
      <c r="AE518" s="1306"/>
      <c r="AF518" s="1307"/>
      <c r="AG518" s="13"/>
      <c r="AH518" s="1438"/>
      <c r="AI518" s="1438"/>
      <c r="AJ518" s="1438"/>
      <c r="AK518" s="1439"/>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50"/>
      <c r="AD520" s="1451"/>
      <c r="AE520" s="1451"/>
      <c r="AF520" s="1452"/>
      <c r="AG520" s="38"/>
      <c r="AH520" s="1442"/>
      <c r="AI520" s="1442"/>
      <c r="AJ520" s="1442"/>
      <c r="AK520" s="1443"/>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80" t="s">
        <v>402</v>
      </c>
      <c r="AD521" s="1342"/>
      <c r="AE521" s="1342"/>
      <c r="AF521" s="1342"/>
      <c r="AG521" s="38" t="s">
        <v>403</v>
      </c>
      <c r="AH521" s="1342" t="s">
        <v>404</v>
      </c>
      <c r="AI521" s="1342"/>
      <c r="AJ521" s="1342"/>
      <c r="AK521" s="1343"/>
      <c r="AZ521" s="3"/>
      <c r="BA521" s="3"/>
      <c r="BB521" s="3"/>
      <c r="BC521" s="3"/>
      <c r="BD521" s="3"/>
      <c r="BE521" s="3"/>
      <c r="BF521" s="3"/>
      <c r="BG521" s="3"/>
      <c r="BH521" s="3"/>
      <c r="BI521" s="3"/>
      <c r="BJ521" s="3"/>
      <c r="BK521" s="3"/>
      <c r="BL521" s="3"/>
      <c r="BM521" s="3"/>
      <c r="BN521" s="3" t="s">
        <v>2059</v>
      </c>
    </row>
    <row r="522" spans="2:66" ht="12.95" customHeight="1">
      <c r="B522" s="1333" t="s">
        <v>414</v>
      </c>
      <c r="C522" s="1334"/>
      <c r="D522" s="1334"/>
      <c r="E522" s="1334"/>
      <c r="F522" s="1334"/>
      <c r="G522" s="1334"/>
      <c r="H522" s="1335"/>
      <c r="I522" s="42" t="s">
        <v>415</v>
      </c>
      <c r="J522" s="42"/>
      <c r="K522" s="42"/>
      <c r="L522" s="42"/>
      <c r="M522" s="42"/>
      <c r="N522" s="42"/>
      <c r="O522" s="42"/>
      <c r="P522" s="42"/>
      <c r="Q522" s="42"/>
      <c r="R522" s="42"/>
      <c r="S522" s="42"/>
      <c r="T522" s="42"/>
      <c r="U522" s="42"/>
      <c r="V522" s="42"/>
      <c r="W522" s="42"/>
      <c r="AC522" s="1344">
        <v>5</v>
      </c>
      <c r="AD522" s="1276"/>
      <c r="AE522" s="1276"/>
      <c r="AF522" s="1276"/>
      <c r="AG522" s="13" t="s">
        <v>403</v>
      </c>
      <c r="AH522" s="1358">
        <v>2026</v>
      </c>
      <c r="AI522" s="1358"/>
      <c r="AJ522" s="1358"/>
      <c r="AK522" s="1359"/>
      <c r="AZ522" s="3"/>
      <c r="BA522" s="3"/>
      <c r="BB522" s="3"/>
      <c r="BC522" s="3"/>
      <c r="BD522" s="3"/>
      <c r="BE522" s="3"/>
      <c r="BF522" s="3"/>
      <c r="BG522" s="3"/>
      <c r="BH522" s="3"/>
      <c r="BI522" s="3"/>
      <c r="BJ522" s="3"/>
      <c r="BK522" s="3"/>
      <c r="BL522" s="3"/>
      <c r="BM522" s="3"/>
      <c r="BN522" s="3" t="s">
        <v>2060</v>
      </c>
    </row>
    <row r="523" spans="2:66" ht="12.95" customHeight="1">
      <c r="B523" s="1336"/>
      <c r="C523" s="1337"/>
      <c r="D523" s="1337"/>
      <c r="E523" s="1337"/>
      <c r="F523" s="1337"/>
      <c r="G523" s="1337"/>
      <c r="H523" s="1338"/>
      <c r="I523" t="s">
        <v>416</v>
      </c>
      <c r="AC523" s="1344">
        <v>5</v>
      </c>
      <c r="AD523" s="1276"/>
      <c r="AE523" s="1276"/>
      <c r="AF523" s="1276"/>
      <c r="AG523" s="13" t="s">
        <v>403</v>
      </c>
      <c r="AH523" s="1358">
        <v>2026</v>
      </c>
      <c r="AI523" s="1358"/>
      <c r="AJ523" s="1358"/>
      <c r="AK523" s="1359"/>
      <c r="AZ523" s="3"/>
      <c r="BA523" s="3"/>
      <c r="BB523" s="3"/>
      <c r="BC523" s="3"/>
      <c r="BD523" s="3"/>
      <c r="BE523" s="3"/>
      <c r="BF523" s="3"/>
      <c r="BG523" s="3"/>
      <c r="BH523" s="3"/>
      <c r="BI523" s="3"/>
      <c r="BJ523" s="3"/>
      <c r="BK523" s="3"/>
      <c r="BL523" s="3"/>
      <c r="BM523" s="3"/>
      <c r="BN523" s="3" t="s">
        <v>2061</v>
      </c>
    </row>
    <row r="524" spans="2:66" ht="12.95" customHeight="1">
      <c r="B524" s="1336"/>
      <c r="C524" s="1337"/>
      <c r="D524" s="1337"/>
      <c r="E524" s="1337"/>
      <c r="F524" s="1337"/>
      <c r="G524" s="1337"/>
      <c r="H524" s="1338"/>
      <c r="I524" s="48" t="s">
        <v>417</v>
      </c>
      <c r="J524" s="48"/>
      <c r="K524" s="48"/>
      <c r="L524" s="48"/>
      <c r="M524" s="48"/>
      <c r="N524" s="48"/>
      <c r="O524" s="48"/>
      <c r="P524" s="48"/>
      <c r="Q524" s="48"/>
      <c r="R524" s="48"/>
      <c r="S524" s="48"/>
      <c r="T524" s="48"/>
      <c r="U524" s="48"/>
      <c r="V524" s="48"/>
      <c r="W524" s="48"/>
      <c r="X524" s="48"/>
      <c r="Y524" s="48"/>
      <c r="Z524" s="48"/>
      <c r="AA524" s="48"/>
      <c r="AB524" s="48"/>
      <c r="AC524" s="1344">
        <v>11</v>
      </c>
      <c r="AD524" s="1276"/>
      <c r="AE524" s="1276"/>
      <c r="AF524" s="1276"/>
      <c r="AG524" s="38" t="s">
        <v>403</v>
      </c>
      <c r="AH524" s="1358">
        <v>2026</v>
      </c>
      <c r="AI524" s="1358"/>
      <c r="AJ524" s="1358"/>
      <c r="AK524" s="1359"/>
      <c r="AZ524" s="3"/>
      <c r="BA524" s="3"/>
      <c r="BB524" s="3"/>
      <c r="BC524" s="3"/>
      <c r="BD524" s="3"/>
      <c r="BE524" s="3"/>
      <c r="BF524" s="3"/>
      <c r="BG524" s="3"/>
      <c r="BH524" s="3"/>
      <c r="BI524" s="3"/>
      <c r="BJ524" s="3"/>
      <c r="BK524" s="3"/>
      <c r="BL524" s="3"/>
      <c r="BM524" s="3"/>
      <c r="BN524" s="3" t="s">
        <v>2062</v>
      </c>
    </row>
    <row r="525" spans="2:66" ht="12.95" customHeight="1">
      <c r="B525" s="1333" t="s">
        <v>418</v>
      </c>
      <c r="C525" s="1334"/>
      <c r="D525" s="1334"/>
      <c r="E525" s="1334"/>
      <c r="F525" s="1334"/>
      <c r="G525" s="1334"/>
      <c r="H525" s="1335"/>
      <c r="I525" s="42" t="s">
        <v>415</v>
      </c>
      <c r="J525" s="42"/>
      <c r="K525" s="42"/>
      <c r="L525" s="42"/>
      <c r="M525" s="42"/>
      <c r="N525" s="42"/>
      <c r="O525" s="42"/>
      <c r="P525" s="42"/>
      <c r="Q525" s="42"/>
      <c r="R525" s="42"/>
      <c r="S525" s="42"/>
      <c r="T525" s="42"/>
      <c r="U525" s="42"/>
      <c r="V525" s="42"/>
      <c r="W525" s="42"/>
      <c r="X525" s="42"/>
      <c r="Y525" s="42"/>
      <c r="Z525" s="42"/>
      <c r="AA525" s="42"/>
      <c r="AB525" s="42"/>
      <c r="AC525" s="1305">
        <v>5</v>
      </c>
      <c r="AD525" s="1306"/>
      <c r="AE525" s="1306"/>
      <c r="AF525" s="1306"/>
      <c r="AG525" s="129" t="s">
        <v>403</v>
      </c>
      <c r="AH525" s="1358">
        <v>2026</v>
      </c>
      <c r="AI525" s="1358"/>
      <c r="AJ525" s="1358"/>
      <c r="AK525" s="1359"/>
      <c r="AZ525" s="3"/>
      <c r="BB525" s="3"/>
      <c r="BC525" s="3"/>
      <c r="BD525" s="3"/>
      <c r="BE525" s="3"/>
      <c r="BF525" s="3"/>
      <c r="BG525" s="3"/>
      <c r="BH525" s="3"/>
      <c r="BI525" s="3"/>
      <c r="BJ525" s="3"/>
      <c r="BK525" s="3"/>
      <c r="BL525" s="3"/>
      <c r="BM525" s="3"/>
      <c r="BN525" s="3" t="s">
        <v>2063</v>
      </c>
    </row>
    <row r="526" spans="2:66" ht="12.95" customHeight="1">
      <c r="B526" s="1336"/>
      <c r="C526" s="1337"/>
      <c r="D526" s="1337"/>
      <c r="E526" s="1337"/>
      <c r="F526" s="1337"/>
      <c r="G526" s="1337"/>
      <c r="H526" s="1338"/>
      <c r="I526" t="s">
        <v>416</v>
      </c>
      <c r="AC526" s="1344">
        <v>5</v>
      </c>
      <c r="AD526" s="1276"/>
      <c r="AE526" s="1276"/>
      <c r="AF526" s="1276"/>
      <c r="AG526" s="13" t="s">
        <v>403</v>
      </c>
      <c r="AH526" s="1358">
        <v>2026</v>
      </c>
      <c r="AI526" s="1358"/>
      <c r="AJ526" s="1358"/>
      <c r="AK526" s="1359"/>
      <c r="BB526" s="3"/>
      <c r="BC526" s="3"/>
      <c r="BD526" s="3"/>
      <c r="BE526" s="3"/>
      <c r="BF526" s="3"/>
      <c r="BG526" s="3"/>
      <c r="BH526" s="3"/>
      <c r="BI526" s="3"/>
      <c r="BJ526" s="3"/>
      <c r="BK526" s="3"/>
      <c r="BL526" s="3"/>
      <c r="BM526" s="3"/>
      <c r="BN526" s="3" t="s">
        <v>2064</v>
      </c>
    </row>
    <row r="527" spans="2:66" ht="12.95" customHeight="1">
      <c r="B527" s="1339"/>
      <c r="C527" s="1340"/>
      <c r="D527" s="1340"/>
      <c r="E527" s="1340"/>
      <c r="F527" s="1340"/>
      <c r="G527" s="1340"/>
      <c r="H527" s="1341"/>
      <c r="I527" s="48" t="s">
        <v>417</v>
      </c>
      <c r="J527" s="48"/>
      <c r="K527" s="48"/>
      <c r="L527" s="48"/>
      <c r="M527" s="48"/>
      <c r="N527" s="48"/>
      <c r="O527" s="48"/>
      <c r="P527" s="48"/>
      <c r="Q527" s="48"/>
      <c r="R527" s="48"/>
      <c r="S527" s="48"/>
      <c r="T527" s="48"/>
      <c r="U527" s="48"/>
      <c r="V527" s="48"/>
      <c r="W527" s="48"/>
      <c r="X527" s="48"/>
      <c r="Y527" s="48"/>
      <c r="Z527" s="48"/>
      <c r="AA527" s="48"/>
      <c r="AB527" s="48"/>
      <c r="AC527" s="1344">
        <v>5</v>
      </c>
      <c r="AD527" s="1276"/>
      <c r="AE527" s="1276"/>
      <c r="AF527" s="1276"/>
      <c r="AG527" s="38" t="s">
        <v>403</v>
      </c>
      <c r="AH527" s="1358">
        <v>2029</v>
      </c>
      <c r="AI527" s="1358"/>
      <c r="AJ527" s="1358"/>
      <c r="AK527" s="1359"/>
      <c r="BB527" s="3"/>
      <c r="BC527" s="3"/>
      <c r="BD527" s="3"/>
      <c r="BE527" s="3"/>
      <c r="BF527" s="3"/>
      <c r="BG527" s="3"/>
      <c r="BH527" s="3"/>
      <c r="BI527" s="3"/>
      <c r="BJ527" s="3"/>
      <c r="BK527" s="3"/>
      <c r="BL527" s="3"/>
      <c r="BM527" s="3"/>
      <c r="BN527" s="3" t="s">
        <v>2065</v>
      </c>
    </row>
    <row r="528" spans="2:66" ht="12.95" customHeight="1">
      <c r="B528" s="1333" t="s">
        <v>419</v>
      </c>
      <c r="C528" s="1334"/>
      <c r="D528" s="1334"/>
      <c r="E528" s="1334"/>
      <c r="F528" s="1334"/>
      <c r="G528" s="1334"/>
      <c r="H528" s="1335"/>
      <c r="I528" s="41" t="s">
        <v>420</v>
      </c>
      <c r="J528" s="42"/>
      <c r="K528" s="42"/>
      <c r="L528" s="42"/>
      <c r="M528" s="42"/>
      <c r="N528" s="42"/>
      <c r="O528" s="1380" t="s">
        <v>2740</v>
      </c>
      <c r="P528" s="1381"/>
      <c r="Q528" s="1381"/>
      <c r="R528" s="1381"/>
      <c r="S528" s="1381"/>
      <c r="T528" s="1381"/>
      <c r="U528" s="1381"/>
      <c r="V528" s="1381"/>
      <c r="W528" s="1381"/>
      <c r="X528" s="1381"/>
      <c r="Y528" s="1381"/>
      <c r="Z528" s="1381"/>
      <c r="AA528" s="1381"/>
      <c r="AB528" s="58"/>
      <c r="AC528" s="1305" t="s">
        <v>591</v>
      </c>
      <c r="AD528" s="1306"/>
      <c r="AE528" s="1306"/>
      <c r="AF528" s="1306"/>
      <c r="AG528" s="129" t="s">
        <v>403</v>
      </c>
      <c r="AH528" s="1358"/>
      <c r="AI528" s="1358"/>
      <c r="AJ528" s="1358"/>
      <c r="AK528" s="1359"/>
      <c r="AZ528" s="3"/>
      <c r="BB528" s="3"/>
      <c r="BC528" s="3"/>
      <c r="BD528" s="3"/>
      <c r="BE528" s="3"/>
      <c r="BF528" s="3"/>
      <c r="BG528" s="3"/>
      <c r="BH528" s="3"/>
      <c r="BI528" s="3"/>
      <c r="BJ528" s="3"/>
      <c r="BK528" s="3"/>
      <c r="BL528" s="3"/>
      <c r="BM528" s="3"/>
      <c r="BN528" s="3" t="s">
        <v>2066</v>
      </c>
    </row>
    <row r="529" spans="2:66" ht="12.95" customHeight="1">
      <c r="B529" s="1336"/>
      <c r="C529" s="1337"/>
      <c r="D529" s="1337"/>
      <c r="E529" s="1337"/>
      <c r="F529" s="1337"/>
      <c r="G529" s="1337"/>
      <c r="H529" s="1338"/>
      <c r="I529" s="114" t="s">
        <v>421</v>
      </c>
      <c r="AB529" s="65"/>
      <c r="AC529" s="1344">
        <v>5</v>
      </c>
      <c r="AD529" s="1276"/>
      <c r="AE529" s="1276"/>
      <c r="AF529" s="1276"/>
      <c r="AG529" s="13" t="s">
        <v>403</v>
      </c>
      <c r="AH529" s="1358">
        <v>2026</v>
      </c>
      <c r="AI529" s="1358"/>
      <c r="AJ529" s="1358"/>
      <c r="AK529" s="1359"/>
      <c r="AZ529" s="3"/>
      <c r="BB529" s="3"/>
      <c r="BC529" s="3"/>
      <c r="BD529" s="3"/>
      <c r="BE529" s="3"/>
      <c r="BF529" s="3"/>
      <c r="BG529" s="3"/>
      <c r="BH529" s="3"/>
      <c r="BI529" s="3"/>
      <c r="BJ529" s="3"/>
      <c r="BK529" s="3"/>
      <c r="BL529" s="3"/>
      <c r="BM529" s="3"/>
      <c r="BN529" s="3" t="s">
        <v>2067</v>
      </c>
    </row>
    <row r="530" spans="2:66" ht="12.95" customHeight="1">
      <c r="B530" s="1336"/>
      <c r="C530" s="1337"/>
      <c r="D530" s="1337"/>
      <c r="E530" s="1337"/>
      <c r="F530" s="1337"/>
      <c r="G530" s="1337"/>
      <c r="H530" s="1338"/>
      <c r="I530" s="47" t="s">
        <v>422</v>
      </c>
      <c r="J530" s="48"/>
      <c r="K530" s="48"/>
      <c r="L530" s="48"/>
      <c r="M530" s="48"/>
      <c r="N530" s="48"/>
      <c r="O530" s="48"/>
      <c r="P530" s="48"/>
      <c r="Q530" s="48"/>
      <c r="R530" s="48"/>
      <c r="S530" s="48"/>
      <c r="T530" s="48"/>
      <c r="U530" s="48"/>
      <c r="V530" s="48"/>
      <c r="W530" s="48"/>
      <c r="X530" s="48"/>
      <c r="Y530" s="48"/>
      <c r="Z530" s="48"/>
      <c r="AA530" s="48"/>
      <c r="AB530" s="49"/>
      <c r="AC530" s="1344">
        <v>11</v>
      </c>
      <c r="AD530" s="1276"/>
      <c r="AE530" s="1276"/>
      <c r="AF530" s="1276"/>
      <c r="AG530" s="38" t="s">
        <v>403</v>
      </c>
      <c r="AH530" s="1358">
        <v>2026</v>
      </c>
      <c r="AI530" s="1358"/>
      <c r="AJ530" s="1358"/>
      <c r="AK530" s="1359"/>
      <c r="AZ530" s="3"/>
      <c r="BA530" s="3"/>
      <c r="BB530" s="3"/>
      <c r="BC530" s="3"/>
      <c r="BD530" s="3"/>
      <c r="BE530" s="3"/>
      <c r="BF530" s="3"/>
      <c r="BG530" s="3"/>
      <c r="BH530" s="3"/>
      <c r="BI530" s="3"/>
      <c r="BJ530" s="3"/>
      <c r="BK530" s="3"/>
      <c r="BL530" s="3"/>
      <c r="BM530" s="3"/>
      <c r="BN530" s="3" t="s">
        <v>2068</v>
      </c>
    </row>
    <row r="531" spans="2:66" ht="12.95" customHeight="1">
      <c r="B531" s="1336"/>
      <c r="C531" s="1337"/>
      <c r="D531" s="1337"/>
      <c r="E531" s="1337"/>
      <c r="F531" s="1337"/>
      <c r="G531" s="1337"/>
      <c r="H531" s="1338"/>
      <c r="I531" s="42" t="s">
        <v>423</v>
      </c>
      <c r="J531" s="42"/>
      <c r="K531" s="42"/>
      <c r="L531" s="42"/>
      <c r="M531" s="42"/>
      <c r="N531" s="42"/>
      <c r="O531" s="1380" t="s">
        <v>334</v>
      </c>
      <c r="P531" s="1381"/>
      <c r="Q531" s="1381"/>
      <c r="R531" s="1381"/>
      <c r="S531" s="1381"/>
      <c r="T531" s="1381"/>
      <c r="U531" s="1381"/>
      <c r="V531" s="1381"/>
      <c r="W531" s="1381"/>
      <c r="X531" s="1381"/>
      <c r="Y531" s="1381"/>
      <c r="Z531" s="1381"/>
      <c r="AA531" s="1381"/>
      <c r="AC531" s="1344" t="s">
        <v>591</v>
      </c>
      <c r="AD531" s="1276"/>
      <c r="AE531" s="1276"/>
      <c r="AF531" s="1276"/>
      <c r="AG531" s="13" t="s">
        <v>403</v>
      </c>
      <c r="AH531" s="1358"/>
      <c r="AI531" s="1358"/>
      <c r="AJ531" s="1358"/>
      <c r="AK531" s="1359"/>
      <c r="AZ531" s="3"/>
      <c r="BA531" s="3"/>
      <c r="BB531" s="3"/>
      <c r="BC531" s="3"/>
      <c r="BD531" s="3"/>
      <c r="BE531" s="3"/>
      <c r="BF531" s="3"/>
      <c r="BG531" s="3"/>
      <c r="BH531" s="3"/>
      <c r="BI531" s="3"/>
      <c r="BJ531" s="3"/>
      <c r="BK531" s="3"/>
      <c r="BL531" s="3"/>
      <c r="BM531" s="3"/>
      <c r="BN531" s="3" t="s">
        <v>2069</v>
      </c>
    </row>
    <row r="532" spans="2:66" ht="12.95" customHeight="1">
      <c r="B532" s="1336"/>
      <c r="C532" s="1337"/>
      <c r="D532" s="1337"/>
      <c r="E532" s="1337"/>
      <c r="F532" s="1337"/>
      <c r="G532" s="1337"/>
      <c r="H532" s="1338"/>
      <c r="I532" t="s">
        <v>421</v>
      </c>
      <c r="AC532" s="1344" t="s">
        <v>591</v>
      </c>
      <c r="AD532" s="1276"/>
      <c r="AE532" s="1276"/>
      <c r="AF532" s="1276"/>
      <c r="AG532" s="13" t="s">
        <v>403</v>
      </c>
      <c r="AH532" s="1358"/>
      <c r="AI532" s="1358"/>
      <c r="AJ532" s="1358"/>
      <c r="AK532" s="1359"/>
      <c r="AZ532" s="3"/>
      <c r="BA532" s="3"/>
      <c r="BB532" s="3"/>
      <c r="BC532" s="3"/>
      <c r="BD532" s="3"/>
      <c r="BE532" s="3"/>
      <c r="BF532" s="3"/>
      <c r="BG532" s="3"/>
      <c r="BH532" s="3"/>
      <c r="BI532" s="3"/>
      <c r="BJ532" s="3"/>
      <c r="BK532" s="3"/>
      <c r="BL532" s="3"/>
      <c r="BM532" s="3"/>
      <c r="BN532" s="3" t="s">
        <v>2070</v>
      </c>
    </row>
    <row r="533" spans="2:66" ht="12.95" customHeight="1">
      <c r="B533" s="1336"/>
      <c r="C533" s="1337"/>
      <c r="D533" s="1337"/>
      <c r="E533" s="1337"/>
      <c r="F533" s="1337"/>
      <c r="G533" s="1337"/>
      <c r="H533" s="1338"/>
      <c r="I533" s="48" t="s">
        <v>422</v>
      </c>
      <c r="J533" s="48"/>
      <c r="K533" s="48"/>
      <c r="L533" s="48"/>
      <c r="M533" s="48"/>
      <c r="N533" s="48"/>
      <c r="O533" s="48"/>
      <c r="P533" s="48"/>
      <c r="Q533" s="48"/>
      <c r="R533" s="48"/>
      <c r="S533" s="48"/>
      <c r="T533" s="48"/>
      <c r="U533" s="48"/>
      <c r="V533" s="48"/>
      <c r="W533" s="48"/>
      <c r="X533" s="48"/>
      <c r="Y533" s="48"/>
      <c r="Z533" s="48"/>
      <c r="AA533" s="48"/>
      <c r="AB533" s="48"/>
      <c r="AC533" s="1344" t="s">
        <v>591</v>
      </c>
      <c r="AD533" s="1276"/>
      <c r="AE533" s="1276"/>
      <c r="AF533" s="1276"/>
      <c r="AG533" s="38" t="s">
        <v>403</v>
      </c>
      <c r="AH533" s="1358"/>
      <c r="AI533" s="1358"/>
      <c r="AJ533" s="1358"/>
      <c r="AK533" s="1359"/>
      <c r="AZ533" s="3"/>
      <c r="BA533" s="3"/>
      <c r="BB533" s="3"/>
      <c r="BC533" s="3"/>
      <c r="BD533" s="3"/>
      <c r="BE533" s="3"/>
      <c r="BF533" s="3"/>
      <c r="BG533" s="3"/>
      <c r="BH533" s="3"/>
      <c r="BI533" s="3"/>
      <c r="BJ533" s="3"/>
      <c r="BK533" s="3"/>
      <c r="BL533" s="3"/>
      <c r="BM533" s="3"/>
      <c r="BN533" s="3" t="s">
        <v>2071</v>
      </c>
    </row>
    <row r="534" spans="2:66" ht="12.95" customHeight="1">
      <c r="B534" s="1336"/>
      <c r="C534" s="1337"/>
      <c r="D534" s="1337"/>
      <c r="E534" s="1337"/>
      <c r="F534" s="1337"/>
      <c r="G534" s="1337"/>
      <c r="H534" s="1338"/>
      <c r="I534" s="42" t="s">
        <v>423</v>
      </c>
      <c r="J534" s="42"/>
      <c r="K534" s="42"/>
      <c r="L534" s="42"/>
      <c r="M534" s="42"/>
      <c r="N534" s="42"/>
      <c r="O534" s="1380" t="s">
        <v>334</v>
      </c>
      <c r="P534" s="1381"/>
      <c r="Q534" s="1381"/>
      <c r="R534" s="1381"/>
      <c r="S534" s="1381"/>
      <c r="T534" s="1381"/>
      <c r="U534" s="1381"/>
      <c r="V534" s="1381"/>
      <c r="W534" s="1381"/>
      <c r="X534" s="1381"/>
      <c r="Y534" s="1381"/>
      <c r="Z534" s="1381"/>
      <c r="AA534" s="1381"/>
      <c r="AC534" s="1344" t="s">
        <v>591</v>
      </c>
      <c r="AD534" s="1276"/>
      <c r="AE534" s="1276"/>
      <c r="AF534" s="1276"/>
      <c r="AG534" s="13" t="s">
        <v>403</v>
      </c>
      <c r="AH534" s="1358"/>
      <c r="AI534" s="1358"/>
      <c r="AJ534" s="1358"/>
      <c r="AK534" s="1359"/>
      <c r="AZ534" s="3"/>
      <c r="BA534" s="3"/>
      <c r="BB534" s="3"/>
      <c r="BC534" s="3"/>
      <c r="BD534" s="3"/>
      <c r="BE534" s="3"/>
      <c r="BF534" s="3"/>
      <c r="BG534" s="3"/>
      <c r="BH534" s="3"/>
      <c r="BI534" s="3"/>
      <c r="BJ534" s="3"/>
      <c r="BK534" s="3"/>
      <c r="BL534" s="3"/>
      <c r="BM534" s="3"/>
      <c r="BN534" s="3" t="s">
        <v>2072</v>
      </c>
    </row>
    <row r="535" spans="2:66" ht="12.95" customHeight="1">
      <c r="B535" s="1336"/>
      <c r="C535" s="1337"/>
      <c r="D535" s="1337"/>
      <c r="E535" s="1337"/>
      <c r="F535" s="1337"/>
      <c r="G535" s="1337"/>
      <c r="H535" s="1338"/>
      <c r="I535" t="s">
        <v>421</v>
      </c>
      <c r="AC535" s="1344" t="s">
        <v>591</v>
      </c>
      <c r="AD535" s="1276"/>
      <c r="AE535" s="1276"/>
      <c r="AF535" s="1276"/>
      <c r="AG535" s="13" t="s">
        <v>403</v>
      </c>
      <c r="AH535" s="1358"/>
      <c r="AI535" s="1358"/>
      <c r="AJ535" s="1358"/>
      <c r="AK535" s="1359"/>
      <c r="AZ535" s="3"/>
      <c r="BA535" s="3"/>
      <c r="BB535" s="3"/>
      <c r="BC535" s="3"/>
      <c r="BD535" s="3"/>
      <c r="BE535" s="3"/>
      <c r="BF535" s="3"/>
      <c r="BG535" s="3"/>
      <c r="BH535" s="3"/>
      <c r="BI535" s="3"/>
      <c r="BJ535" s="3"/>
      <c r="BK535" s="3"/>
      <c r="BL535" s="3"/>
      <c r="BM535" s="3"/>
      <c r="BN535" s="3" t="s">
        <v>2073</v>
      </c>
    </row>
    <row r="536" spans="2:66" ht="12.95" customHeight="1">
      <c r="B536" s="1336"/>
      <c r="C536" s="1337"/>
      <c r="D536" s="1337"/>
      <c r="E536" s="1337"/>
      <c r="F536" s="1337"/>
      <c r="G536" s="1337"/>
      <c r="H536" s="1338"/>
      <c r="I536" s="48" t="s">
        <v>422</v>
      </c>
      <c r="J536" s="48"/>
      <c r="K536" s="48"/>
      <c r="L536" s="48"/>
      <c r="M536" s="48"/>
      <c r="N536" s="48"/>
      <c r="O536" s="48"/>
      <c r="P536" s="48"/>
      <c r="Q536" s="48"/>
      <c r="R536" s="48"/>
      <c r="S536" s="48"/>
      <c r="T536" s="48"/>
      <c r="U536" s="48"/>
      <c r="V536" s="48"/>
      <c r="W536" s="48"/>
      <c r="X536" s="48"/>
      <c r="Y536" s="48"/>
      <c r="Z536" s="48"/>
      <c r="AA536" s="48"/>
      <c r="AB536" s="48"/>
      <c r="AC536" s="1344" t="s">
        <v>591</v>
      </c>
      <c r="AD536" s="1276"/>
      <c r="AE536" s="1276"/>
      <c r="AF536" s="1276"/>
      <c r="AG536" s="38" t="s">
        <v>403</v>
      </c>
      <c r="AH536" s="1358"/>
      <c r="AI536" s="1358"/>
      <c r="AJ536" s="1358"/>
      <c r="AK536" s="1359"/>
      <c r="AZ536" s="3"/>
      <c r="BA536" s="3"/>
      <c r="BB536" s="3"/>
      <c r="BC536" s="3"/>
      <c r="BD536" s="3"/>
      <c r="BE536" s="3"/>
      <c r="BF536" s="3"/>
      <c r="BG536" s="3"/>
      <c r="BH536" s="3"/>
      <c r="BI536" s="3"/>
      <c r="BJ536" s="3"/>
      <c r="BK536" s="3"/>
      <c r="BL536" s="3"/>
      <c r="BM536" s="3"/>
      <c r="BN536" s="3" t="s">
        <v>2074</v>
      </c>
    </row>
    <row r="537" spans="2:66" ht="12.95" customHeight="1">
      <c r="B537" s="1336"/>
      <c r="C537" s="1337"/>
      <c r="D537" s="1337"/>
      <c r="E537" s="1337"/>
      <c r="F537" s="1337"/>
      <c r="G537" s="1337"/>
      <c r="H537" s="1338"/>
      <c r="I537" s="42" t="s">
        <v>423</v>
      </c>
      <c r="J537" s="42"/>
      <c r="K537" s="42"/>
      <c r="L537" s="42"/>
      <c r="M537" s="42"/>
      <c r="N537" s="42"/>
      <c r="O537" s="1380" t="s">
        <v>334</v>
      </c>
      <c r="P537" s="1381"/>
      <c r="Q537" s="1381"/>
      <c r="R537" s="1381"/>
      <c r="S537" s="1381"/>
      <c r="T537" s="1381"/>
      <c r="U537" s="1381"/>
      <c r="V537" s="1381"/>
      <c r="W537" s="1381"/>
      <c r="X537" s="1381"/>
      <c r="Y537" s="1381"/>
      <c r="Z537" s="1381"/>
      <c r="AA537" s="1381"/>
      <c r="AC537" s="1344" t="s">
        <v>591</v>
      </c>
      <c r="AD537" s="1276"/>
      <c r="AE537" s="1276"/>
      <c r="AF537" s="1276"/>
      <c r="AG537" s="13" t="s">
        <v>403</v>
      </c>
      <c r="AH537" s="1358"/>
      <c r="AI537" s="1358"/>
      <c r="AJ537" s="1358"/>
      <c r="AK537" s="1359"/>
      <c r="AZ537" s="3"/>
      <c r="BA537" s="3"/>
      <c r="BB537" s="3"/>
      <c r="BC537" s="3"/>
      <c r="BD537" s="3"/>
      <c r="BE537" s="3"/>
      <c r="BF537" s="3"/>
      <c r="BG537" s="3"/>
      <c r="BH537" s="3"/>
      <c r="BI537" s="3"/>
      <c r="BJ537" s="3"/>
      <c r="BK537" s="3"/>
      <c r="BL537" s="3"/>
      <c r="BM537" s="3"/>
      <c r="BN537" s="3" t="s">
        <v>2075</v>
      </c>
    </row>
    <row r="538" spans="2:66" ht="12.95" customHeight="1">
      <c r="B538" s="1336"/>
      <c r="C538" s="1337"/>
      <c r="D538" s="1337"/>
      <c r="E538" s="1337"/>
      <c r="F538" s="1337"/>
      <c r="G538" s="1337"/>
      <c r="H538" s="1338"/>
      <c r="I538" t="s">
        <v>421</v>
      </c>
      <c r="AC538" s="1344" t="s">
        <v>591</v>
      </c>
      <c r="AD538" s="1276"/>
      <c r="AE538" s="1276"/>
      <c r="AF538" s="1276"/>
      <c r="AG538" s="13" t="s">
        <v>403</v>
      </c>
      <c r="AH538" s="1358"/>
      <c r="AI538" s="1358"/>
      <c r="AJ538" s="1358"/>
      <c r="AK538" s="1359"/>
      <c r="AZ538" s="3"/>
      <c r="BA538" s="3"/>
      <c r="BB538" s="3"/>
      <c r="BC538" s="3"/>
      <c r="BD538" s="3"/>
      <c r="BE538" s="3"/>
      <c r="BF538" s="3"/>
      <c r="BG538" s="3"/>
      <c r="BH538" s="3"/>
      <c r="BI538" s="3"/>
      <c r="BJ538" s="3"/>
      <c r="BK538" s="3"/>
      <c r="BL538" s="3"/>
      <c r="BM538" s="3"/>
      <c r="BN538" s="3" t="s">
        <v>2076</v>
      </c>
    </row>
    <row r="539" spans="2:66" ht="12.95" customHeight="1">
      <c r="B539" s="1336"/>
      <c r="C539" s="1337"/>
      <c r="D539" s="1337"/>
      <c r="E539" s="1337"/>
      <c r="F539" s="1337"/>
      <c r="G539" s="1337"/>
      <c r="H539" s="1338"/>
      <c r="I539" s="48" t="s">
        <v>422</v>
      </c>
      <c r="J539" s="48"/>
      <c r="K539" s="48"/>
      <c r="L539" s="48"/>
      <c r="M539" s="48"/>
      <c r="N539" s="48"/>
      <c r="O539" s="48"/>
      <c r="P539" s="48"/>
      <c r="Q539" s="48"/>
      <c r="R539" s="48"/>
      <c r="S539" s="48"/>
      <c r="T539" s="48"/>
      <c r="U539" s="48"/>
      <c r="V539" s="48"/>
      <c r="W539" s="48"/>
      <c r="X539" s="48"/>
      <c r="Y539" s="48"/>
      <c r="Z539" s="48"/>
      <c r="AA539" s="48"/>
      <c r="AB539" s="48"/>
      <c r="AC539" s="1344" t="s">
        <v>591</v>
      </c>
      <c r="AD539" s="1276"/>
      <c r="AE539" s="1276"/>
      <c r="AF539" s="1276"/>
      <c r="AG539" s="38" t="s">
        <v>403</v>
      </c>
      <c r="AH539" s="1358"/>
      <c r="AI539" s="1358"/>
      <c r="AJ539" s="1358"/>
      <c r="AK539" s="1359"/>
      <c r="AZ539" s="3"/>
      <c r="BA539" s="3"/>
      <c r="BB539" s="3"/>
      <c r="BC539" s="3"/>
      <c r="BD539" s="3"/>
      <c r="BE539" s="3"/>
      <c r="BF539" s="3"/>
      <c r="BG539" s="3"/>
      <c r="BH539" s="3"/>
      <c r="BI539" s="3"/>
      <c r="BJ539" s="3"/>
      <c r="BK539" s="3"/>
      <c r="BL539" s="3"/>
      <c r="BM539" s="3"/>
      <c r="BN539" s="3" t="s">
        <v>2077</v>
      </c>
    </row>
    <row r="540" spans="2:66" ht="12.95" customHeight="1">
      <c r="B540" s="1336"/>
      <c r="C540" s="1337"/>
      <c r="D540" s="1337"/>
      <c r="E540" s="1337"/>
      <c r="F540" s="1337"/>
      <c r="G540" s="1337"/>
      <c r="H540" s="1338"/>
      <c r="I540" s="42" t="s">
        <v>423</v>
      </c>
      <c r="J540" s="42"/>
      <c r="K540" s="42"/>
      <c r="L540" s="42"/>
      <c r="M540" s="42"/>
      <c r="N540" s="42"/>
      <c r="O540" s="1380" t="s">
        <v>334</v>
      </c>
      <c r="P540" s="1381"/>
      <c r="Q540" s="1381"/>
      <c r="R540" s="1381"/>
      <c r="S540" s="1381"/>
      <c r="T540" s="1381"/>
      <c r="U540" s="1381"/>
      <c r="V540" s="1381"/>
      <c r="W540" s="1381"/>
      <c r="X540" s="1381"/>
      <c r="Y540" s="1381"/>
      <c r="Z540" s="1381"/>
      <c r="AA540" s="1381"/>
      <c r="AC540" s="1344" t="s">
        <v>591</v>
      </c>
      <c r="AD540" s="1276"/>
      <c r="AE540" s="1276"/>
      <c r="AF540" s="1276"/>
      <c r="AG540" s="13" t="s">
        <v>403</v>
      </c>
      <c r="AH540" s="1358"/>
      <c r="AI540" s="1358"/>
      <c r="AJ540" s="1358"/>
      <c r="AK540" s="1359"/>
      <c r="AZ540" s="3"/>
      <c r="BA540" s="3"/>
      <c r="BB540" s="3"/>
      <c r="BC540" s="3"/>
      <c r="BD540" s="3"/>
      <c r="BE540" s="3"/>
      <c r="BF540" s="3"/>
      <c r="BG540" s="3"/>
      <c r="BH540" s="3"/>
      <c r="BI540" s="3"/>
      <c r="BJ540" s="3"/>
      <c r="BK540" s="3"/>
      <c r="BL540" s="3"/>
      <c r="BM540" s="3"/>
      <c r="BN540" s="3" t="s">
        <v>2078</v>
      </c>
    </row>
    <row r="541" spans="2:66" ht="12.95" customHeight="1">
      <c r="B541" s="1336"/>
      <c r="C541" s="1337"/>
      <c r="D541" s="1337"/>
      <c r="E541" s="1337"/>
      <c r="F541" s="1337"/>
      <c r="G541" s="1337"/>
      <c r="H541" s="1338"/>
      <c r="I541" t="s">
        <v>421</v>
      </c>
      <c r="AC541" s="1344" t="s">
        <v>591</v>
      </c>
      <c r="AD541" s="1276"/>
      <c r="AE541" s="1276"/>
      <c r="AF541" s="1276"/>
      <c r="AG541" s="38" t="s">
        <v>403</v>
      </c>
      <c r="AH541" s="1358"/>
      <c r="AI541" s="1358"/>
      <c r="AJ541" s="1358"/>
      <c r="AK541" s="1359"/>
      <c r="AZ541" s="3"/>
      <c r="BA541" s="3"/>
      <c r="BB541" s="3"/>
      <c r="BC541" s="3"/>
      <c r="BD541" s="3"/>
      <c r="BE541" s="3"/>
      <c r="BF541" s="3"/>
      <c r="BG541" s="3"/>
      <c r="BH541" s="3"/>
      <c r="BI541" s="3"/>
      <c r="BJ541" s="3"/>
      <c r="BK541" s="3"/>
      <c r="BL541" s="3"/>
      <c r="BM541" s="3"/>
      <c r="BN541" s="3" t="s">
        <v>2079</v>
      </c>
    </row>
    <row r="542" spans="2:66" ht="12.95" customHeight="1">
      <c r="B542" s="1336"/>
      <c r="C542" s="1337"/>
      <c r="D542" s="1337"/>
      <c r="E542" s="1337"/>
      <c r="F542" s="1337"/>
      <c r="G542" s="1337"/>
      <c r="H542" s="1338"/>
      <c r="I542" s="48" t="s">
        <v>422</v>
      </c>
      <c r="J542" s="48"/>
      <c r="K542" s="48"/>
      <c r="L542" s="48"/>
      <c r="M542" s="48"/>
      <c r="N542" s="48"/>
      <c r="O542" s="48"/>
      <c r="P542" s="48"/>
      <c r="Q542" s="48"/>
      <c r="R542" s="48"/>
      <c r="S542" s="48"/>
      <c r="T542" s="48"/>
      <c r="U542" s="48"/>
      <c r="V542" s="48"/>
      <c r="W542" s="48"/>
      <c r="X542" s="48"/>
      <c r="Y542" s="48"/>
      <c r="Z542" s="48"/>
      <c r="AA542" s="48"/>
      <c r="AB542" s="48"/>
      <c r="AC542" s="1344" t="s">
        <v>591</v>
      </c>
      <c r="AD542" s="1276"/>
      <c r="AE542" s="1276"/>
      <c r="AF542" s="1276"/>
      <c r="AG542" s="13" t="s">
        <v>403</v>
      </c>
      <c r="AH542" s="1358"/>
      <c r="AI542" s="1358"/>
      <c r="AJ542" s="1358"/>
      <c r="AK542" s="1359"/>
      <c r="AZ542" s="3"/>
      <c r="BA542" s="3"/>
      <c r="BB542" s="3"/>
      <c r="BC542" s="3"/>
      <c r="BD542" s="3"/>
      <c r="BE542" s="3"/>
      <c r="BF542" s="3"/>
      <c r="BG542" s="3"/>
      <c r="BH542" s="3"/>
      <c r="BI542" s="3"/>
      <c r="BJ542" s="3"/>
      <c r="BK542" s="3"/>
      <c r="BL542" s="3"/>
      <c r="BM542" s="3"/>
      <c r="BN542" s="3" t="s">
        <v>2080</v>
      </c>
    </row>
    <row r="543" spans="2:66" ht="12.95" customHeight="1">
      <c r="B543" s="1336"/>
      <c r="C543" s="1337"/>
      <c r="D543" s="1337"/>
      <c r="E543" s="1337"/>
      <c r="F543" s="1337"/>
      <c r="G543" s="1337"/>
      <c r="H543" s="1338"/>
      <c r="I543" s="42" t="s">
        <v>423</v>
      </c>
      <c r="J543" s="42"/>
      <c r="K543" s="42"/>
      <c r="L543" s="42"/>
      <c r="M543" s="42"/>
      <c r="N543" s="42"/>
      <c r="O543" s="1380" t="s">
        <v>334</v>
      </c>
      <c r="P543" s="1381"/>
      <c r="Q543" s="1381"/>
      <c r="R543" s="1381"/>
      <c r="S543" s="1381"/>
      <c r="T543" s="1381"/>
      <c r="U543" s="1381"/>
      <c r="V543" s="1381"/>
      <c r="W543" s="1381"/>
      <c r="X543" s="1381"/>
      <c r="Y543" s="1381"/>
      <c r="Z543" s="1381"/>
      <c r="AA543" s="1381"/>
      <c r="AC543" s="1344" t="s">
        <v>591</v>
      </c>
      <c r="AD543" s="1276"/>
      <c r="AE543" s="1276"/>
      <c r="AF543" s="1276"/>
      <c r="AG543" s="38" t="s">
        <v>403</v>
      </c>
      <c r="AH543" s="1358"/>
      <c r="AI543" s="1358"/>
      <c r="AJ543" s="1358"/>
      <c r="AK543" s="1359"/>
      <c r="AZ543" s="3"/>
      <c r="BA543" s="3"/>
      <c r="BB543" s="3"/>
      <c r="BC543" s="3"/>
      <c r="BD543" s="3"/>
      <c r="BE543" s="3"/>
      <c r="BF543" s="3"/>
      <c r="BG543" s="3"/>
      <c r="BH543" s="3"/>
      <c r="BI543" s="3"/>
      <c r="BJ543" s="3"/>
      <c r="BK543" s="3"/>
      <c r="BL543" s="3"/>
      <c r="BM543" s="3"/>
      <c r="BN543" s="3" t="s">
        <v>2081</v>
      </c>
    </row>
    <row r="544" spans="2:66" ht="12.95" customHeight="1">
      <c r="B544" s="1336"/>
      <c r="C544" s="1337"/>
      <c r="D544" s="1337"/>
      <c r="E544" s="1337"/>
      <c r="F544" s="1337"/>
      <c r="G544" s="1337"/>
      <c r="H544" s="1338"/>
      <c r="I544" t="s">
        <v>421</v>
      </c>
      <c r="AC544" s="1344" t="s">
        <v>591</v>
      </c>
      <c r="AD544" s="1276"/>
      <c r="AE544" s="1276"/>
      <c r="AF544" s="1276"/>
      <c r="AG544" s="13" t="s">
        <v>403</v>
      </c>
      <c r="AH544" s="1358"/>
      <c r="AI544" s="1358"/>
      <c r="AJ544" s="1358"/>
      <c r="AK544" s="1359"/>
      <c r="AZ544" s="3"/>
      <c r="BA544" s="3"/>
      <c r="BB544" s="3"/>
      <c r="BC544" s="3"/>
      <c r="BD544" s="3"/>
      <c r="BE544" s="3"/>
      <c r="BF544" s="3"/>
      <c r="BG544" s="3"/>
      <c r="BH544" s="3"/>
      <c r="BI544" s="3"/>
      <c r="BJ544" s="3"/>
      <c r="BK544" s="3"/>
      <c r="BL544" s="3"/>
      <c r="BM544" s="3"/>
      <c r="BN544" s="3" t="s">
        <v>2082</v>
      </c>
    </row>
    <row r="545" spans="1:66" ht="12.95" customHeight="1">
      <c r="B545" s="1336"/>
      <c r="C545" s="1337"/>
      <c r="D545" s="1337"/>
      <c r="E545" s="1337"/>
      <c r="F545" s="1337"/>
      <c r="G545" s="1337"/>
      <c r="H545" s="1338"/>
      <c r="I545" s="48" t="s">
        <v>422</v>
      </c>
      <c r="J545" s="48"/>
      <c r="K545" s="48"/>
      <c r="L545" s="48"/>
      <c r="M545" s="48"/>
      <c r="N545" s="48"/>
      <c r="O545" s="48"/>
      <c r="P545" s="48"/>
      <c r="Q545" s="48"/>
      <c r="R545" s="48"/>
      <c r="S545" s="48"/>
      <c r="T545" s="48"/>
      <c r="U545" s="48"/>
      <c r="V545" s="48"/>
      <c r="W545" s="48"/>
      <c r="X545" s="48"/>
      <c r="Y545" s="48"/>
      <c r="Z545" s="48"/>
      <c r="AA545" s="48"/>
      <c r="AB545" s="48"/>
      <c r="AC545" s="1344" t="s">
        <v>591</v>
      </c>
      <c r="AD545" s="1276"/>
      <c r="AE545" s="1276"/>
      <c r="AF545" s="1276"/>
      <c r="AG545" s="38" t="s">
        <v>403</v>
      </c>
      <c r="AH545" s="1358"/>
      <c r="AI545" s="1358"/>
      <c r="AJ545" s="1358"/>
      <c r="AK545" s="1359"/>
      <c r="AZ545" s="3"/>
      <c r="BA545" s="3"/>
      <c r="BB545" s="3"/>
      <c r="BC545" s="3"/>
      <c r="BD545" s="3"/>
      <c r="BE545" s="3"/>
      <c r="BF545" s="3"/>
      <c r="BG545" s="3"/>
      <c r="BH545" s="3"/>
      <c r="BI545" s="3"/>
      <c r="BJ545" s="3"/>
      <c r="BK545" s="3"/>
      <c r="BL545" s="3"/>
      <c r="BM545" s="3"/>
      <c r="BN545" s="3" t="s">
        <v>2083</v>
      </c>
    </row>
    <row r="546" spans="1:66" ht="12.95" customHeight="1">
      <c r="B546" s="1336"/>
      <c r="C546" s="1337"/>
      <c r="D546" s="1337"/>
      <c r="E546" s="1337"/>
      <c r="F546" s="1337"/>
      <c r="G546" s="1337"/>
      <c r="H546" s="1338"/>
      <c r="I546" s="42" t="s">
        <v>562</v>
      </c>
      <c r="J546" s="42"/>
      <c r="K546" s="42"/>
      <c r="L546" s="42"/>
      <c r="M546" s="42"/>
      <c r="N546" s="42"/>
      <c r="O546" s="42"/>
      <c r="P546" s="42"/>
      <c r="Q546" s="42"/>
      <c r="R546" s="42"/>
      <c r="S546" s="42"/>
      <c r="T546" s="42"/>
      <c r="U546" s="42"/>
      <c r="V546" s="42"/>
      <c r="W546" s="42"/>
      <c r="AC546" s="1344">
        <v>11</v>
      </c>
      <c r="AD546" s="1276"/>
      <c r="AE546" s="1276"/>
      <c r="AF546" s="1276"/>
      <c r="AG546" s="38" t="s">
        <v>403</v>
      </c>
      <c r="AH546" s="1358">
        <v>2026</v>
      </c>
      <c r="AI546" s="1358"/>
      <c r="AJ546" s="1358"/>
      <c r="AK546" s="1359"/>
      <c r="AZ546" s="3"/>
      <c r="BA546" s="3"/>
      <c r="BB546" s="3"/>
      <c r="BC546" s="3"/>
      <c r="BD546" s="3"/>
      <c r="BE546" s="3"/>
      <c r="BF546" s="3"/>
      <c r="BG546" s="3"/>
      <c r="BH546" s="3"/>
      <c r="BI546" s="3"/>
      <c r="BJ546" s="3"/>
      <c r="BK546" s="3"/>
      <c r="BL546" s="3"/>
      <c r="BM546" s="3"/>
      <c r="BN546" s="3"/>
    </row>
    <row r="547" spans="1:66" ht="12.95" customHeight="1">
      <c r="B547" s="1336"/>
      <c r="C547" s="1337"/>
      <c r="D547" s="1337"/>
      <c r="E547" s="1337"/>
      <c r="F547" s="1337"/>
      <c r="G547" s="1337"/>
      <c r="H547" s="1338"/>
      <c r="I547" t="s">
        <v>563</v>
      </c>
      <c r="AC547" s="1344">
        <v>11</v>
      </c>
      <c r="AD547" s="1276"/>
      <c r="AE547" s="1276"/>
      <c r="AF547" s="1276"/>
      <c r="AG547" s="13" t="s">
        <v>403</v>
      </c>
      <c r="AH547" s="1358">
        <v>2026</v>
      </c>
      <c r="AI547" s="1358"/>
      <c r="AJ547" s="1358"/>
      <c r="AK547" s="1359"/>
      <c r="AZ547" s="3"/>
      <c r="BA547" s="3"/>
      <c r="BB547" s="3"/>
      <c r="BC547" s="3"/>
      <c r="BD547" s="3"/>
      <c r="BE547" s="3"/>
      <c r="BF547" s="3"/>
      <c r="BG547" s="3"/>
      <c r="BH547" s="3"/>
      <c r="BI547" s="3"/>
      <c r="BJ547" s="3"/>
      <c r="BK547" s="3"/>
      <c r="BL547" s="3"/>
      <c r="BM547" s="3"/>
      <c r="BN547" s="3"/>
    </row>
    <row r="548" spans="1:66" ht="12.95" customHeight="1">
      <c r="B548" s="1336"/>
      <c r="C548" s="1337"/>
      <c r="D548" s="1337"/>
      <c r="E548" s="1337"/>
      <c r="F548" s="1337"/>
      <c r="G548" s="1337"/>
      <c r="H548" s="1338"/>
      <c r="I548" t="s">
        <v>564</v>
      </c>
      <c r="AC548" s="1344">
        <v>11</v>
      </c>
      <c r="AD548" s="1276"/>
      <c r="AE548" s="1276"/>
      <c r="AF548" s="1276"/>
      <c r="AG548" s="38" t="s">
        <v>403</v>
      </c>
      <c r="AH548" s="1358">
        <v>2028</v>
      </c>
      <c r="AI548" s="1358"/>
      <c r="AJ548" s="1358"/>
      <c r="AK548" s="1359"/>
      <c r="AZ548" s="3"/>
      <c r="BA548" s="3"/>
      <c r="BB548" s="3"/>
      <c r="BC548" s="3"/>
      <c r="BD548" s="3"/>
      <c r="BE548" s="3"/>
      <c r="BF548" s="3"/>
      <c r="BG548" s="3"/>
      <c r="BH548" s="3"/>
      <c r="BI548" s="3"/>
      <c r="BJ548" s="3"/>
      <c r="BK548" s="3"/>
      <c r="BL548" s="3"/>
      <c r="BM548" s="3"/>
      <c r="BN548" s="3"/>
    </row>
    <row r="549" spans="1:66" ht="12.95" customHeight="1">
      <c r="B549" s="1336"/>
      <c r="C549" s="1337"/>
      <c r="D549" s="1337"/>
      <c r="E549" s="1337"/>
      <c r="F549" s="1337"/>
      <c r="G549" s="1337"/>
      <c r="H549" s="1338"/>
      <c r="I549" t="s">
        <v>565</v>
      </c>
      <c r="AC549" s="1344">
        <v>11</v>
      </c>
      <c r="AD549" s="1276"/>
      <c r="AE549" s="1276"/>
      <c r="AF549" s="1276"/>
      <c r="AG549" s="38" t="s">
        <v>403</v>
      </c>
      <c r="AH549" s="1358">
        <v>2028</v>
      </c>
      <c r="AI549" s="1358"/>
      <c r="AJ549" s="1358"/>
      <c r="AK549" s="1359"/>
      <c r="AZ549" s="3"/>
      <c r="BA549" s="3"/>
      <c r="BB549" s="3"/>
      <c r="BC549" s="3"/>
      <c r="BD549" s="3"/>
      <c r="BE549" s="3"/>
      <c r="BF549" s="3"/>
      <c r="BG549" s="3"/>
      <c r="BH549" s="3"/>
      <c r="BI549" s="3"/>
      <c r="BJ549" s="3"/>
      <c r="BK549" s="3"/>
      <c r="BL549" s="3"/>
      <c r="BM549" s="3"/>
      <c r="BN549" s="3"/>
    </row>
    <row r="550" spans="1:66" ht="12.95" customHeight="1">
      <c r="B550" s="1339"/>
      <c r="C550" s="1340"/>
      <c r="D550" s="1340"/>
      <c r="E550" s="1340"/>
      <c r="F550" s="1340"/>
      <c r="G550" s="1340"/>
      <c r="H550" s="1341"/>
      <c r="I550" s="48" t="s">
        <v>451</v>
      </c>
      <c r="J550" s="48"/>
      <c r="K550" s="48"/>
      <c r="L550" s="48"/>
      <c r="M550" s="48"/>
      <c r="N550" s="48"/>
      <c r="O550" s="48"/>
      <c r="P550" s="48"/>
      <c r="Q550" s="48"/>
      <c r="R550" s="48"/>
      <c r="S550" s="48"/>
      <c r="T550" s="48"/>
      <c r="U550" s="48"/>
      <c r="V550" s="48"/>
      <c r="W550" s="48"/>
      <c r="X550" s="48"/>
      <c r="Y550" s="48"/>
      <c r="Z550" s="48"/>
      <c r="AA550" s="48"/>
      <c r="AB550" s="48"/>
      <c r="AC550" s="1344">
        <v>2</v>
      </c>
      <c r="AD550" s="1276"/>
      <c r="AE550" s="1276"/>
      <c r="AF550" s="1276"/>
      <c r="AG550" s="38" t="s">
        <v>403</v>
      </c>
      <c r="AH550" s="1358">
        <v>2029</v>
      </c>
      <c r="AI550" s="1358"/>
      <c r="AJ550" s="1358"/>
      <c r="AK550" s="1359"/>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574" t="s">
        <v>543</v>
      </c>
      <c r="B552" s="1574"/>
      <c r="C552" s="1574"/>
      <c r="D552" s="1574"/>
      <c r="E552" s="1574"/>
      <c r="F552" s="1574"/>
      <c r="G552" s="1574"/>
      <c r="H552" s="1574"/>
      <c r="I552" s="1574"/>
      <c r="J552" s="1574"/>
      <c r="K552" s="1574"/>
      <c r="L552" s="1574"/>
      <c r="M552" s="1574"/>
      <c r="N552" s="1574"/>
      <c r="O552" s="1574"/>
      <c r="P552" s="1574"/>
      <c r="Q552" s="1574"/>
      <c r="R552" s="1574"/>
      <c r="S552" s="1574"/>
      <c r="T552" s="1574"/>
      <c r="U552" s="1574"/>
      <c r="V552" s="1574"/>
      <c r="W552" s="1574"/>
      <c r="X552" s="1574"/>
      <c r="Y552" s="1574"/>
      <c r="Z552" s="1574"/>
      <c r="AA552" s="1574"/>
      <c r="AB552" s="1574"/>
      <c r="AC552" s="1574"/>
      <c r="AD552" s="1574"/>
      <c r="AE552" s="1574"/>
      <c r="AF552" s="1574"/>
      <c r="AG552" s="1574"/>
      <c r="AH552" s="1574"/>
      <c r="AI552" s="1574"/>
      <c r="AJ552" s="1574"/>
      <c r="AK552" s="1574"/>
      <c r="AL552" s="1574"/>
      <c r="AM552" s="1574"/>
      <c r="AN552" s="1574"/>
      <c r="AO552" s="1574"/>
      <c r="AP552" s="1574"/>
      <c r="AQ552" s="1574"/>
      <c r="AR552" s="1574"/>
      <c r="AS552" s="1574"/>
      <c r="AT552" s="1574"/>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574"/>
      <c r="B553" s="1574"/>
      <c r="C553" s="1574"/>
      <c r="D553" s="1574"/>
      <c r="E553" s="1574"/>
      <c r="F553" s="1574"/>
      <c r="G553" s="1574"/>
      <c r="H553" s="1574"/>
      <c r="I553" s="1574"/>
      <c r="J553" s="1574"/>
      <c r="K553" s="1574"/>
      <c r="L553" s="1574"/>
      <c r="M553" s="1574"/>
      <c r="N553" s="1574"/>
      <c r="O553" s="1574"/>
      <c r="P553" s="1574"/>
      <c r="Q553" s="1574"/>
      <c r="R553" s="1574"/>
      <c r="S553" s="1574"/>
      <c r="T553" s="1574"/>
      <c r="U553" s="1574"/>
      <c r="V553" s="1574"/>
      <c r="W553" s="1574"/>
      <c r="X553" s="1574"/>
      <c r="Y553" s="1574"/>
      <c r="Z553" s="1574"/>
      <c r="AA553" s="1574"/>
      <c r="AB553" s="1574"/>
      <c r="AC553" s="1574"/>
      <c r="AD553" s="1574"/>
      <c r="AE553" s="1574"/>
      <c r="AF553" s="1574"/>
      <c r="AG553" s="1574"/>
      <c r="AH553" s="1574"/>
      <c r="AI553" s="1574"/>
      <c r="AJ553" s="1574"/>
      <c r="AK553" s="1574"/>
      <c r="AL553" s="1574"/>
      <c r="AM553" s="1574"/>
      <c r="AN553" s="1574"/>
      <c r="AO553" s="1574"/>
      <c r="AP553" s="1574"/>
      <c r="AQ553" s="1574"/>
      <c r="AR553" s="1574"/>
      <c r="AS553" s="1574"/>
      <c r="AT553" s="1574"/>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33" t="s">
        <v>2057</v>
      </c>
      <c r="C559" s="1334"/>
      <c r="D559" s="1334"/>
      <c r="E559" s="1334"/>
      <c r="F559" s="1334"/>
      <c r="G559" s="1334"/>
      <c r="H559" s="1334"/>
      <c r="I559" s="1334"/>
      <c r="J559" s="1334"/>
      <c r="K559" s="1334"/>
      <c r="L559" s="1335"/>
      <c r="M559" s="1333" t="s">
        <v>2058</v>
      </c>
      <c r="N559" s="1334"/>
      <c r="O559" s="1334"/>
      <c r="P559" s="1335"/>
      <c r="Q559" s="1333" t="s">
        <v>2084</v>
      </c>
      <c r="R559" s="1334"/>
      <c r="S559" s="1335"/>
      <c r="T559" s="1333" t="s">
        <v>2085</v>
      </c>
      <c r="U559" s="1334"/>
      <c r="V559" s="1335"/>
      <c r="W559" s="1333" t="s">
        <v>453</v>
      </c>
      <c r="X559" s="1334"/>
      <c r="Y559" s="1335"/>
      <c r="Z559" s="1333" t="s">
        <v>1827</v>
      </c>
      <c r="AA559" s="1334"/>
      <c r="AB559" s="1334"/>
      <c r="AC559" s="1334"/>
      <c r="AD559" s="1335"/>
      <c r="AE559" s="1333" t="s">
        <v>1665</v>
      </c>
      <c r="AF559" s="1334"/>
      <c r="AG559" s="1334"/>
      <c r="AH559" s="1335"/>
      <c r="AI559" s="1333" t="s">
        <v>1666</v>
      </c>
      <c r="AJ559" s="1334"/>
      <c r="AK559" s="1334"/>
      <c r="AL559" s="1335"/>
      <c r="AM559" s="1333" t="s">
        <v>454</v>
      </c>
      <c r="AN559" s="1334"/>
      <c r="AO559" s="1334"/>
      <c r="AP559" s="1334"/>
      <c r="AQ559" s="1334"/>
      <c r="AR559" s="1334"/>
      <c r="AS559" s="1335"/>
      <c r="BB559" s="3"/>
      <c r="BC559" s="3"/>
      <c r="BD559" s="3"/>
      <c r="BE559" s="3"/>
      <c r="BF559" s="3"/>
      <c r="BG559" s="3"/>
      <c r="BH559" s="3" t="s">
        <v>581</v>
      </c>
      <c r="BI559" s="3" t="str">
        <f>AG665</f>
        <v>Yes</v>
      </c>
    </row>
    <row r="560" spans="1:66" ht="12.95" customHeight="1">
      <c r="B560" s="1336"/>
      <c r="C560" s="1337"/>
      <c r="D560" s="1337"/>
      <c r="E560" s="1337"/>
      <c r="F560" s="1337"/>
      <c r="G560" s="1337"/>
      <c r="H560" s="1337"/>
      <c r="I560" s="1337"/>
      <c r="J560" s="1337"/>
      <c r="K560" s="1337"/>
      <c r="L560" s="1338"/>
      <c r="M560" s="1336"/>
      <c r="N560" s="1337"/>
      <c r="O560" s="1337"/>
      <c r="P560" s="1338"/>
      <c r="Q560" s="1336"/>
      <c r="R560" s="1337"/>
      <c r="S560" s="1338"/>
      <c r="T560" s="1336"/>
      <c r="U560" s="1337"/>
      <c r="V560" s="1338"/>
      <c r="W560" s="1336"/>
      <c r="X560" s="1337"/>
      <c r="Y560" s="1338"/>
      <c r="Z560" s="1336"/>
      <c r="AA560" s="1337"/>
      <c r="AB560" s="1337"/>
      <c r="AC560" s="1337"/>
      <c r="AD560" s="1338"/>
      <c r="AE560" s="1336"/>
      <c r="AF560" s="1337"/>
      <c r="AG560" s="1337"/>
      <c r="AH560" s="1338"/>
      <c r="AI560" s="1336"/>
      <c r="AJ560" s="1337"/>
      <c r="AK560" s="1337"/>
      <c r="AL560" s="1338"/>
      <c r="AM560" s="1336"/>
      <c r="AN560" s="1337"/>
      <c r="AO560" s="1337"/>
      <c r="AP560" s="1337"/>
      <c r="AQ560" s="1337"/>
      <c r="AR560" s="1337"/>
      <c r="AS560" s="1338"/>
      <c r="AU560" s="1141"/>
      <c r="BB560" s="3"/>
      <c r="BC560" s="3"/>
      <c r="BD560" s="3"/>
      <c r="BE560" s="3"/>
      <c r="BF560" s="3"/>
      <c r="BG560" s="3"/>
      <c r="BH560" s="3"/>
      <c r="BI560" s="3"/>
    </row>
    <row r="561" spans="1:61" ht="12.95" customHeight="1">
      <c r="B561" s="1339"/>
      <c r="C561" s="1340"/>
      <c r="D561" s="1340"/>
      <c r="E561" s="1340"/>
      <c r="F561" s="1340"/>
      <c r="G561" s="1340"/>
      <c r="H561" s="1340"/>
      <c r="I561" s="1340"/>
      <c r="J561" s="1340"/>
      <c r="K561" s="1340"/>
      <c r="L561" s="1341"/>
      <c r="M561" s="1339"/>
      <c r="N561" s="1340"/>
      <c r="O561" s="1340"/>
      <c r="P561" s="1341"/>
      <c r="Q561" s="1339"/>
      <c r="R561" s="1340"/>
      <c r="S561" s="1341"/>
      <c r="T561" s="1339"/>
      <c r="U561" s="1340"/>
      <c r="V561" s="1341"/>
      <c r="W561" s="1339"/>
      <c r="X561" s="1340"/>
      <c r="Y561" s="1341"/>
      <c r="Z561" s="1339"/>
      <c r="AA561" s="1340"/>
      <c r="AB561" s="1340"/>
      <c r="AC561" s="1340"/>
      <c r="AD561" s="1341"/>
      <c r="AE561" s="1339"/>
      <c r="AF561" s="1340"/>
      <c r="AG561" s="1340"/>
      <c r="AH561" s="1341"/>
      <c r="AI561" s="1339"/>
      <c r="AJ561" s="1340"/>
      <c r="AK561" s="1340"/>
      <c r="AL561" s="1341"/>
      <c r="AM561" s="1339"/>
      <c r="AN561" s="1340"/>
      <c r="AO561" s="1340"/>
      <c r="AP561" s="1340"/>
      <c r="AQ561" s="1340"/>
      <c r="AR561" s="1340"/>
      <c r="AS561" s="1341"/>
      <c r="AU561" s="1141"/>
      <c r="BB561" s="3"/>
      <c r="BC561" s="3"/>
      <c r="BD561" s="3"/>
      <c r="BE561" s="3"/>
      <c r="BF561" s="3"/>
      <c r="BG561" s="3"/>
      <c r="BH561" s="3"/>
      <c r="BI561" s="3"/>
    </row>
    <row r="562" spans="1:61" ht="12.95" customHeight="1">
      <c r="B562" s="51" t="s">
        <v>112</v>
      </c>
      <c r="C562" s="1365" t="s">
        <v>2776</v>
      </c>
      <c r="D562" s="1365"/>
      <c r="E562" s="1365"/>
      <c r="F562" s="1365"/>
      <c r="G562" s="1365"/>
      <c r="H562" s="1365"/>
      <c r="I562" s="1365"/>
      <c r="J562" s="1365"/>
      <c r="K562" s="1365"/>
      <c r="L562" s="1365"/>
      <c r="M562" s="1365" t="s">
        <v>2074</v>
      </c>
      <c r="N562" s="1365"/>
      <c r="O562" s="1365"/>
      <c r="P562" s="1365"/>
      <c r="Q562" s="1356">
        <v>36</v>
      </c>
      <c r="R562" s="1356"/>
      <c r="S562" s="1357"/>
      <c r="T562" s="1355"/>
      <c r="U562" s="1356"/>
      <c r="V562" s="1357"/>
      <c r="W562" s="1348">
        <v>5.7500000000000002E-2</v>
      </c>
      <c r="X562" s="1349"/>
      <c r="Y562" s="1350"/>
      <c r="Z562" s="1351" t="s">
        <v>2741</v>
      </c>
      <c r="AA562" s="1351"/>
      <c r="AB562" s="1351"/>
      <c r="AC562" s="1351"/>
      <c r="AD562" s="1351"/>
      <c r="AE562" s="1330">
        <v>1</v>
      </c>
      <c r="AF562" s="1331"/>
      <c r="AG562" s="1331"/>
      <c r="AH562" s="1332"/>
      <c r="AI562" s="1352"/>
      <c r="AJ562" s="1353"/>
      <c r="AK562" s="1353"/>
      <c r="AL562" s="1354"/>
      <c r="AM562" s="1416">
        <v>16898484</v>
      </c>
      <c r="AN562" s="1417"/>
      <c r="AO562" s="1417"/>
      <c r="AP562" s="1417"/>
      <c r="AQ562" s="1417"/>
      <c r="AR562" s="1417"/>
      <c r="AS562" s="1418"/>
      <c r="AT562" s="1142"/>
      <c r="AU562" s="1141"/>
      <c r="BB562" s="3"/>
      <c r="BC562" s="3"/>
      <c r="BD562" s="3"/>
      <c r="BE562" s="3"/>
      <c r="BF562" s="3"/>
      <c r="BG562" s="3"/>
      <c r="BH562" s="3"/>
      <c r="BI562" s="3"/>
    </row>
    <row r="563" spans="1:61" ht="12.95" customHeight="1">
      <c r="B563" s="52" t="s">
        <v>113</v>
      </c>
      <c r="C563" s="1347" t="s">
        <v>2776</v>
      </c>
      <c r="D563" s="1347"/>
      <c r="E563" s="1347"/>
      <c r="F563" s="1347"/>
      <c r="G563" s="1347"/>
      <c r="H563" s="1347"/>
      <c r="I563" s="1347"/>
      <c r="J563" s="1347"/>
      <c r="K563" s="1347"/>
      <c r="L563" s="1347"/>
      <c r="M563" s="1365" t="s">
        <v>2073</v>
      </c>
      <c r="N563" s="1365"/>
      <c r="O563" s="1365"/>
      <c r="P563" s="1365"/>
      <c r="Q563" s="1355">
        <v>36</v>
      </c>
      <c r="R563" s="1356"/>
      <c r="S563" s="1357"/>
      <c r="T563" s="1355"/>
      <c r="U563" s="1356"/>
      <c r="V563" s="1357"/>
      <c r="W563" s="1348">
        <v>5.7500000000000002E-2</v>
      </c>
      <c r="X563" s="1349"/>
      <c r="Y563" s="1350"/>
      <c r="Z563" s="1351" t="s">
        <v>2741</v>
      </c>
      <c r="AA563" s="1351"/>
      <c r="AB563" s="1351"/>
      <c r="AC563" s="1351"/>
      <c r="AD563" s="1351"/>
      <c r="AE563" s="1330">
        <v>1</v>
      </c>
      <c r="AF563" s="1331"/>
      <c r="AG563" s="1331"/>
      <c r="AH563" s="1332"/>
      <c r="AI563" s="1352"/>
      <c r="AJ563" s="1353"/>
      <c r="AK563" s="1353"/>
      <c r="AL563" s="1354"/>
      <c r="AM563" s="1416">
        <v>26983851</v>
      </c>
      <c r="AN563" s="1417"/>
      <c r="AO563" s="1417"/>
      <c r="AP563" s="1417"/>
      <c r="AQ563" s="1417"/>
      <c r="AR563" s="1417"/>
      <c r="AS563" s="1418"/>
      <c r="AT563" s="1142" t="str">
        <f>IF(AND(NOT(C562=""),C563="",NOT(C564="")),"!","")</f>
        <v/>
      </c>
      <c r="AU563" s="1141"/>
      <c r="BB563" s="3"/>
      <c r="BC563" s="3"/>
      <c r="BD563" s="3"/>
      <c r="BE563" s="3"/>
      <c r="BF563" s="3"/>
      <c r="BG563" s="3"/>
      <c r="BH563" s="3"/>
      <c r="BI563" s="3"/>
    </row>
    <row r="564" spans="1:61" ht="12.95" customHeight="1">
      <c r="B564" s="52" t="s">
        <v>119</v>
      </c>
      <c r="C564" s="1347" t="s">
        <v>2760</v>
      </c>
      <c r="D564" s="1347"/>
      <c r="E564" s="1347"/>
      <c r="F564" s="1347"/>
      <c r="G564" s="1347"/>
      <c r="H564" s="1347"/>
      <c r="I564" s="1347"/>
      <c r="J564" s="1347"/>
      <c r="K564" s="1347"/>
      <c r="L564" s="1347"/>
      <c r="M564" s="1365" t="s">
        <v>2070</v>
      </c>
      <c r="N564" s="1365"/>
      <c r="O564" s="1365"/>
      <c r="P564" s="1365"/>
      <c r="Q564" s="1355">
        <v>36</v>
      </c>
      <c r="R564" s="1356"/>
      <c r="S564" s="1357"/>
      <c r="T564" s="1355"/>
      <c r="U564" s="1356"/>
      <c r="V564" s="1357"/>
      <c r="W564" s="1348">
        <v>0.03</v>
      </c>
      <c r="X564" s="1349"/>
      <c r="Y564" s="1350"/>
      <c r="Z564" s="1351" t="s">
        <v>2741</v>
      </c>
      <c r="AA564" s="1351"/>
      <c r="AB564" s="1351"/>
      <c r="AC564" s="1351"/>
      <c r="AD564" s="1351"/>
      <c r="AE564" s="1330">
        <v>2</v>
      </c>
      <c r="AF564" s="1331"/>
      <c r="AG564" s="1331"/>
      <c r="AH564" s="1332"/>
      <c r="AI564" s="1352"/>
      <c r="AJ564" s="1353"/>
      <c r="AK564" s="1353"/>
      <c r="AL564" s="1354"/>
      <c r="AM564" s="1416">
        <v>9088225</v>
      </c>
      <c r="AN564" s="1417"/>
      <c r="AO564" s="1417"/>
      <c r="AP564" s="1417"/>
      <c r="AQ564" s="1417"/>
      <c r="AR564" s="1417"/>
      <c r="AS564" s="1418"/>
      <c r="AT564" s="1142" t="str">
        <f>IF(AND(NOT(C563=""),C564="",NOT(C565="")),"!","")</f>
        <v/>
      </c>
      <c r="AU564" s="1141"/>
      <c r="BB564" s="3"/>
      <c r="BC564" s="3"/>
      <c r="BD564" s="3"/>
      <c r="BE564" s="3"/>
      <c r="BF564" s="3"/>
      <c r="BG564" s="3"/>
      <c r="BH564" s="3"/>
      <c r="BI564" s="3"/>
    </row>
    <row r="565" spans="1:61" ht="12.95" customHeight="1">
      <c r="B565" s="52" t="s">
        <v>581</v>
      </c>
      <c r="C565" s="1347" t="s">
        <v>2728</v>
      </c>
      <c r="D565" s="1347"/>
      <c r="E565" s="1347"/>
      <c r="F565" s="1347"/>
      <c r="G565" s="1347"/>
      <c r="H565" s="1347"/>
      <c r="I565" s="1347"/>
      <c r="J565" s="1347"/>
      <c r="K565" s="1347"/>
      <c r="L565" s="1347"/>
      <c r="M565" s="1365" t="s">
        <v>2071</v>
      </c>
      <c r="N565" s="1365"/>
      <c r="O565" s="1365"/>
      <c r="P565" s="1365"/>
      <c r="Q565" s="1355">
        <v>36</v>
      </c>
      <c r="R565" s="1356"/>
      <c r="S565" s="1357"/>
      <c r="T565" s="1355"/>
      <c r="U565" s="1356"/>
      <c r="V565" s="1357"/>
      <c r="W565" s="1348">
        <v>3.6499999999999998E-2</v>
      </c>
      <c r="X565" s="1349"/>
      <c r="Y565" s="1350"/>
      <c r="Z565" s="1351" t="s">
        <v>2741</v>
      </c>
      <c r="AA565" s="1351"/>
      <c r="AB565" s="1351"/>
      <c r="AC565" s="1351"/>
      <c r="AD565" s="1351"/>
      <c r="AE565" s="1330"/>
      <c r="AF565" s="1331"/>
      <c r="AG565" s="1331"/>
      <c r="AH565" s="1332"/>
      <c r="AI565" s="1352"/>
      <c r="AJ565" s="1353"/>
      <c r="AK565" s="1353"/>
      <c r="AL565" s="1354"/>
      <c r="AM565" s="1416">
        <v>10000000</v>
      </c>
      <c r="AN565" s="1417"/>
      <c r="AO565" s="1417"/>
      <c r="AP565" s="1417"/>
      <c r="AQ565" s="1417"/>
      <c r="AR565" s="1417"/>
      <c r="AS565" s="1418"/>
      <c r="AT565" s="1142" t="str">
        <f>IF(AND(NOT(C564=""),C565="",NOT(C566="")),"!","")</f>
        <v/>
      </c>
      <c r="AU565" s="1141"/>
      <c r="BB565" s="3"/>
      <c r="BC565" s="3"/>
      <c r="BD565" s="3"/>
      <c r="BE565" s="3"/>
      <c r="BF565" s="3"/>
      <c r="BG565" s="3"/>
      <c r="BH565" s="3"/>
      <c r="BI565" s="3"/>
    </row>
    <row r="566" spans="1:61" ht="12.95" customHeight="1">
      <c r="B566" s="52" t="s">
        <v>763</v>
      </c>
      <c r="C566" s="1347" t="s">
        <v>2644</v>
      </c>
      <c r="D566" s="1347"/>
      <c r="E566" s="1347"/>
      <c r="F566" s="1347"/>
      <c r="G566" s="1347"/>
      <c r="H566" s="1347"/>
      <c r="I566" s="1347"/>
      <c r="J566" s="1347"/>
      <c r="K566" s="1347"/>
      <c r="L566" s="1347"/>
      <c r="M566" s="1365" t="s">
        <v>2078</v>
      </c>
      <c r="N566" s="1365"/>
      <c r="O566" s="1365"/>
      <c r="P566" s="1365"/>
      <c r="Q566" s="1355"/>
      <c r="R566" s="1356"/>
      <c r="S566" s="1357"/>
      <c r="T566" s="1355"/>
      <c r="U566" s="1356"/>
      <c r="V566" s="1357"/>
      <c r="W566" s="1348"/>
      <c r="X566" s="1349"/>
      <c r="Y566" s="1350"/>
      <c r="Z566" s="1351" t="s">
        <v>1184</v>
      </c>
      <c r="AA566" s="1351"/>
      <c r="AB566" s="1351"/>
      <c r="AC566" s="1351"/>
      <c r="AD566" s="1351"/>
      <c r="AE566" s="1330"/>
      <c r="AF566" s="1331"/>
      <c r="AG566" s="1331"/>
      <c r="AH566" s="1332"/>
      <c r="AI566" s="1352"/>
      <c r="AJ566" s="1353"/>
      <c r="AK566" s="1353"/>
      <c r="AL566" s="1354"/>
      <c r="AM566" s="1416">
        <v>600265</v>
      </c>
      <c r="AN566" s="1417"/>
      <c r="AO566" s="1417"/>
      <c r="AP566" s="1417"/>
      <c r="AQ566" s="1417"/>
      <c r="AR566" s="1417"/>
      <c r="AS566" s="1418"/>
      <c r="AT566" s="1142" t="str">
        <f t="shared" ref="AT566:AT573" si="2">IF(AND(NOT(C565=""),C566="",NOT(C567="")),"!","")</f>
        <v/>
      </c>
      <c r="AU566" s="1141"/>
      <c r="BB566" s="3"/>
      <c r="BC566" s="3"/>
      <c r="BD566" s="3"/>
      <c r="BE566" s="3"/>
      <c r="BF566" s="3"/>
      <c r="BG566" s="3"/>
      <c r="BH566" s="3" t="s">
        <v>763</v>
      </c>
      <c r="BI566" s="3" t="str">
        <f>N673</f>
        <v>Yes</v>
      </c>
    </row>
    <row r="567" spans="1:61" ht="12.95" customHeight="1">
      <c r="B567" s="52" t="s">
        <v>584</v>
      </c>
      <c r="C567" s="1347" t="s">
        <v>2644</v>
      </c>
      <c r="D567" s="1347"/>
      <c r="E567" s="1347"/>
      <c r="F567" s="1347"/>
      <c r="G567" s="1347"/>
      <c r="H567" s="1347"/>
      <c r="I567" s="1347"/>
      <c r="J567" s="1347"/>
      <c r="K567" s="1347"/>
      <c r="L567" s="1347"/>
      <c r="M567" s="1365" t="s">
        <v>2076</v>
      </c>
      <c r="N567" s="1365"/>
      <c r="O567" s="1365"/>
      <c r="P567" s="1365"/>
      <c r="Q567" s="1355"/>
      <c r="R567" s="1356"/>
      <c r="S567" s="1357"/>
      <c r="T567" s="1355"/>
      <c r="U567" s="1356"/>
      <c r="V567" s="1357"/>
      <c r="W567" s="1348"/>
      <c r="X567" s="1349"/>
      <c r="Y567" s="1350"/>
      <c r="Z567" s="1351" t="s">
        <v>1184</v>
      </c>
      <c r="AA567" s="1351"/>
      <c r="AB567" s="1351"/>
      <c r="AC567" s="1351"/>
      <c r="AD567" s="1351"/>
      <c r="AE567" s="1330"/>
      <c r="AF567" s="1331"/>
      <c r="AG567" s="1331"/>
      <c r="AH567" s="1332"/>
      <c r="AI567" s="1352"/>
      <c r="AJ567" s="1353"/>
      <c r="AK567" s="1353"/>
      <c r="AL567" s="1354"/>
      <c r="AM567" s="1416">
        <v>1008935</v>
      </c>
      <c r="AN567" s="1417"/>
      <c r="AO567" s="1417"/>
      <c r="AP567" s="1417"/>
      <c r="AQ567" s="1417"/>
      <c r="AR567" s="1417"/>
      <c r="AS567" s="1418"/>
      <c r="AT567" s="1142" t="str">
        <f t="shared" si="2"/>
        <v/>
      </c>
      <c r="AU567" s="1141"/>
      <c r="BB567" s="3"/>
      <c r="BC567" s="3"/>
      <c r="BD567" s="3"/>
      <c r="BE567" s="3"/>
      <c r="BF567" s="3"/>
      <c r="BG567" s="3"/>
      <c r="BH567" s="3" t="s">
        <v>584</v>
      </c>
      <c r="BI567" s="3" t="str">
        <f>AG673</f>
        <v>No</v>
      </c>
    </row>
    <row r="568" spans="1:61" ht="12.95" customHeight="1">
      <c r="B568" s="52" t="s">
        <v>455</v>
      </c>
      <c r="C568" s="1347" t="s">
        <v>2679</v>
      </c>
      <c r="D568" s="1347"/>
      <c r="E568" s="1347"/>
      <c r="F568" s="1347"/>
      <c r="G568" s="1347"/>
      <c r="H568" s="1347"/>
      <c r="I568" s="1347"/>
      <c r="J568" s="1347"/>
      <c r="K568" s="1347"/>
      <c r="L568" s="1347"/>
      <c r="M568" s="1365" t="s">
        <v>2061</v>
      </c>
      <c r="N568" s="1365"/>
      <c r="O568" s="1365"/>
      <c r="P568" s="1365"/>
      <c r="Q568" s="1355"/>
      <c r="R568" s="1356"/>
      <c r="S568" s="1357"/>
      <c r="T568" s="1355"/>
      <c r="U568" s="1356"/>
      <c r="V568" s="1357"/>
      <c r="W568" s="1348"/>
      <c r="X568" s="1349"/>
      <c r="Y568" s="1350"/>
      <c r="Z568" s="1351" t="s">
        <v>1184</v>
      </c>
      <c r="AA568" s="1351"/>
      <c r="AB568" s="1351"/>
      <c r="AC568" s="1351"/>
      <c r="AD568" s="1351"/>
      <c r="AE568" s="1330"/>
      <c r="AF568" s="1331"/>
      <c r="AG568" s="1331"/>
      <c r="AH568" s="1332"/>
      <c r="AI568" s="1352"/>
      <c r="AJ568" s="1353"/>
      <c r="AK568" s="1353"/>
      <c r="AL568" s="1354"/>
      <c r="AM568" s="1416">
        <v>4679506</v>
      </c>
      <c r="AN568" s="1417"/>
      <c r="AO568" s="1417"/>
      <c r="AP568" s="1417"/>
      <c r="AQ568" s="1417"/>
      <c r="AR568" s="1417"/>
      <c r="AS568" s="1418"/>
      <c r="AT568" s="1142" t="str">
        <f t="shared" si="2"/>
        <v/>
      </c>
      <c r="AU568" s="1141"/>
      <c r="BB568" s="3"/>
      <c r="BC568" s="3"/>
      <c r="BD568" s="3"/>
      <c r="BE568" s="3"/>
      <c r="BF568" s="3"/>
      <c r="BG568" s="3"/>
      <c r="BH568" s="3"/>
      <c r="BI568" s="3"/>
    </row>
    <row r="569" spans="1:61" ht="12.95" customHeight="1">
      <c r="B569" s="52" t="s">
        <v>456</v>
      </c>
      <c r="C569" s="1347" t="s">
        <v>2786</v>
      </c>
      <c r="D569" s="1347"/>
      <c r="E569" s="1347"/>
      <c r="F569" s="1347"/>
      <c r="G569" s="1347"/>
      <c r="H569" s="1347"/>
      <c r="I569" s="1347"/>
      <c r="J569" s="1347"/>
      <c r="K569" s="1347"/>
      <c r="L569" s="1347"/>
      <c r="M569" s="1365" t="s">
        <v>2065</v>
      </c>
      <c r="N569" s="1365"/>
      <c r="O569" s="1365"/>
      <c r="P569" s="1365"/>
      <c r="Q569" s="1355"/>
      <c r="R569" s="1356"/>
      <c r="S569" s="1357"/>
      <c r="T569" s="1355"/>
      <c r="U569" s="1356"/>
      <c r="V569" s="1357"/>
      <c r="W569" s="1348"/>
      <c r="X569" s="1349"/>
      <c r="Y569" s="1350"/>
      <c r="Z569" s="1351" t="s">
        <v>1184</v>
      </c>
      <c r="AA569" s="1351"/>
      <c r="AB569" s="1351"/>
      <c r="AC569" s="1351"/>
      <c r="AD569" s="1351"/>
      <c r="AE569" s="1330"/>
      <c r="AF569" s="1331"/>
      <c r="AG569" s="1331"/>
      <c r="AH569" s="1332"/>
      <c r="AI569" s="1352"/>
      <c r="AJ569" s="1353"/>
      <c r="AK569" s="1353"/>
      <c r="AL569" s="1354"/>
      <c r="AM569" s="1416">
        <v>3257894</v>
      </c>
      <c r="AN569" s="1417"/>
      <c r="AO569" s="1417"/>
      <c r="AP569" s="1417"/>
      <c r="AQ569" s="1417"/>
      <c r="AR569" s="1417"/>
      <c r="AS569" s="1418"/>
      <c r="AT569" s="1142" t="str">
        <f t="shared" si="2"/>
        <v/>
      </c>
      <c r="AU569" s="1141"/>
      <c r="BB569" s="3"/>
      <c r="BC569" s="3"/>
      <c r="BD569" s="3"/>
      <c r="BE569" s="3"/>
      <c r="BF569" s="3"/>
      <c r="BG569" s="3"/>
      <c r="BH569" s="3"/>
      <c r="BI569" s="3"/>
    </row>
    <row r="570" spans="1:61" ht="12.95" customHeight="1">
      <c r="B570" s="52" t="s">
        <v>461</v>
      </c>
      <c r="C570" s="1347"/>
      <c r="D570" s="1347"/>
      <c r="E570" s="1347"/>
      <c r="F570" s="1347"/>
      <c r="G570" s="1347"/>
      <c r="H570" s="1347"/>
      <c r="I570" s="1347"/>
      <c r="J570" s="1347"/>
      <c r="K570" s="1347"/>
      <c r="L570" s="1347"/>
      <c r="M570" s="1365" t="s">
        <v>1184</v>
      </c>
      <c r="N570" s="1365"/>
      <c r="O570" s="1365"/>
      <c r="P570" s="1365"/>
      <c r="Q570" s="1355"/>
      <c r="R570" s="1356"/>
      <c r="S570" s="1357"/>
      <c r="T570" s="1355"/>
      <c r="U570" s="1356"/>
      <c r="V570" s="1357"/>
      <c r="W570" s="1348"/>
      <c r="X570" s="1349"/>
      <c r="Y570" s="1350"/>
      <c r="Z570" s="1351" t="s">
        <v>1184</v>
      </c>
      <c r="AA570" s="1351"/>
      <c r="AB570" s="1351"/>
      <c r="AC570" s="1351"/>
      <c r="AD570" s="1351"/>
      <c r="AE570" s="1330"/>
      <c r="AF570" s="1331"/>
      <c r="AG570" s="1331"/>
      <c r="AH570" s="1332"/>
      <c r="AI570" s="1352"/>
      <c r="AJ570" s="1353"/>
      <c r="AK570" s="1353"/>
      <c r="AL570" s="1354"/>
      <c r="AM570" s="1416"/>
      <c r="AN570" s="1417"/>
      <c r="AO570" s="1417"/>
      <c r="AP570" s="1417"/>
      <c r="AQ570" s="1417"/>
      <c r="AR570" s="1417"/>
      <c r="AS570" s="1418"/>
      <c r="AT570" s="1142" t="str">
        <f t="shared" si="2"/>
        <v/>
      </c>
      <c r="AU570" s="1141"/>
      <c r="BB570" s="3"/>
      <c r="BC570" s="3"/>
      <c r="BD570" s="3"/>
      <c r="BE570" s="3"/>
      <c r="BF570" s="3"/>
      <c r="BG570" s="3"/>
      <c r="BH570" s="3"/>
      <c r="BI570" s="3"/>
    </row>
    <row r="571" spans="1:61" ht="12.95" customHeight="1">
      <c r="B571" s="52" t="s">
        <v>646</v>
      </c>
      <c r="C571" s="1347"/>
      <c r="D571" s="1347"/>
      <c r="E571" s="1347"/>
      <c r="F571" s="1347"/>
      <c r="G571" s="1347"/>
      <c r="H571" s="1347"/>
      <c r="I571" s="1347"/>
      <c r="J571" s="1347"/>
      <c r="K571" s="1347"/>
      <c r="L571" s="1347"/>
      <c r="M571" s="1365" t="s">
        <v>1184</v>
      </c>
      <c r="N571" s="1365"/>
      <c r="O571" s="1365"/>
      <c r="P571" s="1365"/>
      <c r="Q571" s="1355"/>
      <c r="R571" s="1356"/>
      <c r="S571" s="1357"/>
      <c r="T571" s="1355"/>
      <c r="U571" s="1356"/>
      <c r="V571" s="1357"/>
      <c r="W571" s="1348"/>
      <c r="X571" s="1349"/>
      <c r="Y571" s="1350"/>
      <c r="Z571" s="1351" t="s">
        <v>1184</v>
      </c>
      <c r="AA571" s="1351"/>
      <c r="AB571" s="1351"/>
      <c r="AC571" s="1351"/>
      <c r="AD571" s="1351"/>
      <c r="AE571" s="1330"/>
      <c r="AF571" s="1331"/>
      <c r="AG571" s="1331"/>
      <c r="AH571" s="1332"/>
      <c r="AI571" s="1352"/>
      <c r="AJ571" s="1353"/>
      <c r="AK571" s="1353"/>
      <c r="AL571" s="1354"/>
      <c r="AM571" s="1416"/>
      <c r="AN571" s="1417"/>
      <c r="AO571" s="1417"/>
      <c r="AP571" s="1417"/>
      <c r="AQ571" s="1417"/>
      <c r="AR571" s="1417"/>
      <c r="AS571" s="1418"/>
      <c r="AT571" s="1142" t="str">
        <f t="shared" si="2"/>
        <v/>
      </c>
      <c r="BB571" s="3"/>
      <c r="BC571" s="3"/>
      <c r="BD571" s="3"/>
      <c r="BE571" s="3"/>
      <c r="BF571" s="3"/>
      <c r="BG571" s="3"/>
      <c r="BH571" s="3"/>
      <c r="BI571" s="3"/>
    </row>
    <row r="572" spans="1:61" ht="12.95" customHeight="1">
      <c r="B572" s="52" t="s">
        <v>362</v>
      </c>
      <c r="C572" s="1347"/>
      <c r="D572" s="1347"/>
      <c r="E572" s="1347"/>
      <c r="F572" s="1347"/>
      <c r="G572" s="1347"/>
      <c r="H572" s="1347"/>
      <c r="I572" s="1347"/>
      <c r="J572" s="1347"/>
      <c r="K572" s="1347"/>
      <c r="L572" s="1347"/>
      <c r="M572" s="1365" t="s">
        <v>1184</v>
      </c>
      <c r="N572" s="1365"/>
      <c r="O572" s="1365"/>
      <c r="P572" s="1365"/>
      <c r="Q572" s="1355"/>
      <c r="R572" s="1356"/>
      <c r="S572" s="1357"/>
      <c r="T572" s="1355"/>
      <c r="U572" s="1356"/>
      <c r="V572" s="1357"/>
      <c r="W572" s="1348"/>
      <c r="X572" s="1349"/>
      <c r="Y572" s="1350"/>
      <c r="Z572" s="1351" t="s">
        <v>1184</v>
      </c>
      <c r="AA572" s="1351"/>
      <c r="AB572" s="1351"/>
      <c r="AC572" s="1351"/>
      <c r="AD572" s="1351"/>
      <c r="AE572" s="1330"/>
      <c r="AF572" s="1331"/>
      <c r="AG572" s="1331"/>
      <c r="AH572" s="1332"/>
      <c r="AI572" s="1352"/>
      <c r="AJ572" s="1353"/>
      <c r="AK572" s="1353"/>
      <c r="AL572" s="1354"/>
      <c r="AM572" s="1416"/>
      <c r="AN572" s="1417"/>
      <c r="AO572" s="1417"/>
      <c r="AP572" s="1417"/>
      <c r="AQ572" s="1417"/>
      <c r="AR572" s="1417"/>
      <c r="AS572" s="1418"/>
      <c r="AT572" s="1142" t="str">
        <f t="shared" si="2"/>
        <v/>
      </c>
      <c r="BB572" s="3"/>
      <c r="BC572" s="3"/>
      <c r="BD572" s="3"/>
      <c r="BE572" s="3"/>
      <c r="BF572" s="3"/>
      <c r="BG572" s="3"/>
      <c r="BH572" s="3"/>
      <c r="BI572" s="3"/>
    </row>
    <row r="573" spans="1:61" ht="12.95" customHeight="1">
      <c r="B573" s="52" t="s">
        <v>363</v>
      </c>
      <c r="C573" s="1347"/>
      <c r="D573" s="1347"/>
      <c r="E573" s="1347"/>
      <c r="F573" s="1347"/>
      <c r="G573" s="1347"/>
      <c r="H573" s="1347"/>
      <c r="I573" s="1347"/>
      <c r="J573" s="1347"/>
      <c r="K573" s="1347"/>
      <c r="L573" s="1347"/>
      <c r="M573" s="1365" t="s">
        <v>1184</v>
      </c>
      <c r="N573" s="1365"/>
      <c r="O573" s="1365"/>
      <c r="P573" s="1365"/>
      <c r="Q573" s="1355"/>
      <c r="R573" s="1356"/>
      <c r="S573" s="1357"/>
      <c r="T573" s="1355"/>
      <c r="U573" s="1356"/>
      <c r="V573" s="1357"/>
      <c r="W573" s="1348"/>
      <c r="X573" s="1349"/>
      <c r="Y573" s="1350"/>
      <c r="Z573" s="1351" t="s">
        <v>1184</v>
      </c>
      <c r="AA573" s="1351"/>
      <c r="AB573" s="1351"/>
      <c r="AC573" s="1351"/>
      <c r="AD573" s="1351"/>
      <c r="AE573" s="1330"/>
      <c r="AF573" s="1331"/>
      <c r="AG573" s="1331"/>
      <c r="AH573" s="1332"/>
      <c r="AI573" s="1352"/>
      <c r="AJ573" s="1353"/>
      <c r="AK573" s="1353"/>
      <c r="AL573" s="1354"/>
      <c r="AM573" s="1416"/>
      <c r="AN573" s="1417"/>
      <c r="AO573" s="1417"/>
      <c r="AP573" s="1417"/>
      <c r="AQ573" s="1417"/>
      <c r="AR573" s="1417"/>
      <c r="AS573" s="1418"/>
      <c r="AT573" s="1142" t="str">
        <f t="shared" si="2"/>
        <v/>
      </c>
      <c r="BB573" s="3"/>
      <c r="BC573" s="3"/>
      <c r="BD573" s="3"/>
      <c r="BE573" s="3"/>
      <c r="BF573" s="3"/>
      <c r="BG573" s="3"/>
      <c r="BH573" s="3"/>
      <c r="BI573" s="3"/>
    </row>
    <row r="574" spans="1:61" ht="12.95" customHeight="1">
      <c r="B574" s="1326" t="s">
        <v>127</v>
      </c>
      <c r="C574" s="1327"/>
      <c r="D574" s="1327"/>
      <c r="E574" s="1327"/>
      <c r="F574" s="1327"/>
      <c r="G574" s="1327"/>
      <c r="H574" s="1327"/>
      <c r="I574" s="1327"/>
      <c r="J574" s="1327"/>
      <c r="K574" s="1327"/>
      <c r="L574" s="1327"/>
      <c r="M574" s="1327"/>
      <c r="N574" s="1327"/>
      <c r="O574" s="1327"/>
      <c r="P574" s="1327"/>
      <c r="Q574" s="1327"/>
      <c r="R574" s="1327"/>
      <c r="S574" s="1327"/>
      <c r="T574" s="1327"/>
      <c r="U574" s="1328"/>
      <c r="V574" s="1327"/>
      <c r="W574" s="1327"/>
      <c r="X574" s="1327"/>
      <c r="Y574" s="1327"/>
      <c r="Z574" s="1327"/>
      <c r="AA574" s="1327"/>
      <c r="AB574" s="1327"/>
      <c r="AC574" s="1327"/>
      <c r="AD574" s="1327"/>
      <c r="AE574" s="1327"/>
      <c r="AF574" s="1327"/>
      <c r="AG574" s="1327"/>
      <c r="AH574" s="1327"/>
      <c r="AI574" s="1327"/>
      <c r="AJ574" s="1327"/>
      <c r="AK574" s="1327"/>
      <c r="AL574" s="1329"/>
      <c r="AM574" s="1419">
        <f>SUM(AM562:AS573)</f>
        <v>72517160</v>
      </c>
      <c r="AN574" s="1420"/>
      <c r="AO574" s="1420"/>
      <c r="AP574" s="1420"/>
      <c r="AQ574" s="1420"/>
      <c r="AR574" s="1420"/>
      <c r="AS574" s="1421"/>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46" t="str">
        <f>C562</f>
        <v xml:space="preserve">Citibank, N.A </v>
      </c>
      <c r="H576" s="1346"/>
      <c r="I576" s="1346"/>
      <c r="J576" s="1346"/>
      <c r="K576" s="1346"/>
      <c r="L576" s="1346"/>
      <c r="M576" s="1346"/>
      <c r="N576" s="1346"/>
      <c r="O576" s="1346"/>
      <c r="P576" s="1346"/>
      <c r="Q576" s="1346"/>
      <c r="R576" s="1346"/>
      <c r="S576" s="8"/>
      <c r="T576" s="55" t="s">
        <v>113</v>
      </c>
      <c r="U576" t="s">
        <v>463</v>
      </c>
      <c r="Z576" s="1346" t="str">
        <f>C563</f>
        <v xml:space="preserve">Citibank, N.A </v>
      </c>
      <c r="AA576" s="1346"/>
      <c r="AB576" s="1346"/>
      <c r="AC576" s="1346"/>
      <c r="AD576" s="1346"/>
      <c r="AE576" s="1346"/>
      <c r="AF576" s="1346"/>
      <c r="AG576" s="1346"/>
      <c r="AH576" s="1346"/>
      <c r="AI576" s="1346"/>
      <c r="AJ576" s="1346"/>
      <c r="AK576" s="1346"/>
      <c r="BB576" s="3"/>
      <c r="BC576" s="3"/>
      <c r="BD576" s="3"/>
      <c r="BE576" s="3"/>
      <c r="BF576" s="3"/>
      <c r="BG576" s="3"/>
      <c r="BH576" s="3"/>
      <c r="BI576" s="3"/>
    </row>
    <row r="577" spans="1:61" ht="12.95" customHeight="1">
      <c r="A577" s="22"/>
      <c r="B577" t="s">
        <v>85</v>
      </c>
      <c r="G577" s="1272" t="s">
        <v>2742</v>
      </c>
      <c r="H577" s="1272"/>
      <c r="I577" s="1272"/>
      <c r="J577" s="1272"/>
      <c r="K577" s="1272"/>
      <c r="L577" s="1272"/>
      <c r="M577" s="1272"/>
      <c r="N577" s="1272"/>
      <c r="O577" s="1272"/>
      <c r="P577" s="1272"/>
      <c r="Q577" s="1272"/>
      <c r="R577" s="1272"/>
      <c r="S577" s="8"/>
      <c r="T577" s="22"/>
      <c r="U577" t="s">
        <v>85</v>
      </c>
      <c r="Z577" s="1272" t="s">
        <v>2742</v>
      </c>
      <c r="AA577" s="1272"/>
      <c r="AB577" s="1272"/>
      <c r="AC577" s="1272"/>
      <c r="AD577" s="1272"/>
      <c r="AE577" s="1272"/>
      <c r="AF577" s="1272"/>
      <c r="AG577" s="1272"/>
      <c r="AH577" s="1272"/>
      <c r="AI577" s="1272"/>
      <c r="AJ577" s="1272"/>
      <c r="AK577" s="1272"/>
      <c r="BB577" s="3"/>
      <c r="BC577" s="3"/>
      <c r="BD577" s="3"/>
      <c r="BE577" s="3"/>
      <c r="BF577" s="3"/>
      <c r="BG577" s="3"/>
      <c r="BH577" s="3"/>
      <c r="BI577" s="3"/>
    </row>
    <row r="578" spans="1:61" ht="12.95" customHeight="1">
      <c r="A578" s="22"/>
      <c r="B578" t="s">
        <v>580</v>
      </c>
      <c r="G578" s="1271" t="s">
        <v>2743</v>
      </c>
      <c r="H578" s="1271"/>
      <c r="I578" s="1271"/>
      <c r="J578" s="1271"/>
      <c r="K578" s="1271"/>
      <c r="L578" s="1271"/>
      <c r="M578" s="1271"/>
      <c r="N578" s="1271"/>
      <c r="O578" s="1271"/>
      <c r="P578" s="1271"/>
      <c r="Q578" s="1271"/>
      <c r="R578" s="1271"/>
      <c r="T578" s="22"/>
      <c r="U578" t="s">
        <v>580</v>
      </c>
      <c r="Z578" s="1271" t="s">
        <v>2743</v>
      </c>
      <c r="AA578" s="1271"/>
      <c r="AB578" s="1271"/>
      <c r="AC578" s="1271"/>
      <c r="AD578" s="1271"/>
      <c r="AE578" s="1271"/>
      <c r="AF578" s="1271"/>
      <c r="AG578" s="1271"/>
      <c r="AH578" s="1271"/>
      <c r="AI578" s="1271"/>
      <c r="AJ578" s="1271"/>
      <c r="AK578" s="1271"/>
      <c r="BB578" s="3"/>
      <c r="BC578" s="3"/>
      <c r="BD578" s="3"/>
      <c r="BE578" s="3"/>
      <c r="BF578" s="3"/>
      <c r="BG578" s="3"/>
      <c r="BH578" s="3"/>
      <c r="BI578" s="3"/>
    </row>
    <row r="579" spans="1:61" ht="12.95" customHeight="1">
      <c r="A579" s="22"/>
      <c r="B579" t="s">
        <v>17</v>
      </c>
      <c r="G579" s="1272" t="s">
        <v>2744</v>
      </c>
      <c r="H579" s="1272"/>
      <c r="I579" s="1272"/>
      <c r="J579" s="1272"/>
      <c r="K579" s="1272"/>
      <c r="L579" s="1272"/>
      <c r="M579" s="1272"/>
      <c r="N579" s="1272"/>
      <c r="O579" s="1272"/>
      <c r="P579" s="1272"/>
      <c r="Q579" s="1272"/>
      <c r="R579" s="1272"/>
      <c r="S579" s="8"/>
      <c r="T579" s="22"/>
      <c r="U579" t="s">
        <v>17</v>
      </c>
      <c r="Z579" s="1271" t="s">
        <v>2744</v>
      </c>
      <c r="AA579" s="1271"/>
      <c r="AB579" s="1271"/>
      <c r="AC579" s="1271"/>
      <c r="AD579" s="1271"/>
      <c r="AE579" s="1271"/>
      <c r="AF579" s="1271"/>
      <c r="AG579" s="1271"/>
      <c r="AH579" s="1271"/>
      <c r="AI579" s="1271"/>
      <c r="AJ579" s="1271"/>
      <c r="AK579" s="1271"/>
      <c r="BB579" s="3"/>
      <c r="BC579" s="3"/>
      <c r="BD579" s="3"/>
      <c r="BE579" s="3"/>
      <c r="BF579" s="3"/>
      <c r="BG579" s="3"/>
      <c r="BH579" s="3"/>
      <c r="BI579" s="3"/>
    </row>
    <row r="580" spans="1:61" ht="12.95" customHeight="1">
      <c r="A580" s="22"/>
      <c r="B580" t="s">
        <v>316</v>
      </c>
      <c r="G580" s="1280" t="s">
        <v>2748</v>
      </c>
      <c r="H580" s="1274"/>
      <c r="I580" s="1274"/>
      <c r="J580" s="1274"/>
      <c r="K580" s="1274"/>
      <c r="L580" s="1274"/>
      <c r="O580" s="33" t="s">
        <v>206</v>
      </c>
      <c r="P580" s="1345"/>
      <c r="Q580" s="1345"/>
      <c r="R580" s="1345"/>
      <c r="S580" s="10"/>
      <c r="T580" s="22"/>
      <c r="U580" t="s">
        <v>316</v>
      </c>
      <c r="Z580" s="1280" t="s">
        <v>2748</v>
      </c>
      <c r="AA580" s="1274"/>
      <c r="AB580" s="1274"/>
      <c r="AC580" s="1274"/>
      <c r="AD580" s="1274"/>
      <c r="AE580" s="1274"/>
      <c r="AH580" s="33" t="s">
        <v>206</v>
      </c>
      <c r="AI580" s="1345"/>
      <c r="AJ580" s="1345"/>
      <c r="AK580" s="1345"/>
      <c r="BB580" s="3"/>
      <c r="BC580" s="3"/>
      <c r="BD580" s="3"/>
      <c r="BE580" s="3"/>
      <c r="BF580" s="3"/>
      <c r="BG580" s="3"/>
      <c r="BH580" s="3"/>
      <c r="BI580" s="3"/>
    </row>
    <row r="581" spans="1:61" ht="12.95" customHeight="1">
      <c r="A581" s="22"/>
      <c r="B581" t="s">
        <v>18</v>
      </c>
      <c r="H581" s="1272" t="s">
        <v>2749</v>
      </c>
      <c r="I581" s="1272"/>
      <c r="J581" s="1272"/>
      <c r="K581" s="1272"/>
      <c r="L581" s="1272"/>
      <c r="M581" s="1272"/>
      <c r="N581" s="1272"/>
      <c r="O581" s="1272"/>
      <c r="P581" s="1272"/>
      <c r="Q581" s="1272"/>
      <c r="R581" s="1272"/>
      <c r="S581" s="8"/>
      <c r="T581" s="22"/>
      <c r="U581" t="s">
        <v>18</v>
      </c>
      <c r="AA581" s="1272" t="s">
        <v>2773</v>
      </c>
      <c r="AB581" s="1272"/>
      <c r="AC581" s="1272"/>
      <c r="AD581" s="1272"/>
      <c r="AE581" s="1272"/>
      <c r="AF581" s="1272"/>
      <c r="AG581" s="1272"/>
      <c r="AH581" s="1272"/>
      <c r="AI581" s="1272"/>
      <c r="AJ581" s="1272"/>
      <c r="AK581" s="1272"/>
      <c r="BB581" s="3"/>
      <c r="BC581" s="3"/>
      <c r="BD581" s="3"/>
      <c r="BE581" s="3"/>
      <c r="BF581" s="3"/>
      <c r="BG581" s="3"/>
      <c r="BH581" s="3"/>
      <c r="BI581" s="3"/>
    </row>
    <row r="582" spans="1:61" ht="12.95" customHeight="1">
      <c r="A582" s="22"/>
      <c r="B582" s="320" t="s">
        <v>1185</v>
      </c>
      <c r="H582" s="8"/>
      <c r="I582" s="8"/>
      <c r="J582" s="8"/>
      <c r="K582" s="8"/>
      <c r="L582" s="8"/>
      <c r="M582" s="1364"/>
      <c r="N582" s="1364"/>
      <c r="O582" s="1364"/>
      <c r="P582" s="1364"/>
      <c r="Q582" s="1364"/>
      <c r="R582" s="1364"/>
      <c r="S582" s="8"/>
      <c r="T582" s="22"/>
      <c r="U582" s="320" t="s">
        <v>1185</v>
      </c>
      <c r="AA582" s="8"/>
      <c r="AB582" s="8"/>
      <c r="AC582" s="8"/>
      <c r="AD582" s="8"/>
      <c r="AE582" s="8"/>
      <c r="AF582" s="1364"/>
      <c r="AG582" s="1364"/>
      <c r="AH582" s="1364"/>
      <c r="AI582" s="1364"/>
      <c r="AJ582" s="1364"/>
      <c r="AK582" s="1364"/>
      <c r="BB582" s="3"/>
      <c r="BC582" s="3"/>
      <c r="BD582" s="3"/>
      <c r="BE582" s="3"/>
      <c r="BF582" s="3"/>
      <c r="BG582" s="3"/>
      <c r="BH582" s="3"/>
      <c r="BI582" s="3"/>
    </row>
    <row r="583" spans="1:61" ht="12.95" customHeight="1">
      <c r="A583" s="22"/>
      <c r="B583" t="s">
        <v>20</v>
      </c>
      <c r="N583" s="1269" t="s">
        <v>545</v>
      </c>
      <c r="O583" s="1269"/>
      <c r="T583" s="22"/>
      <c r="U583" t="s">
        <v>20</v>
      </c>
      <c r="AG583" s="1269" t="s">
        <v>545</v>
      </c>
      <c r="AH583" s="126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46" t="str">
        <f>C564</f>
        <v>City of Elk Grove</v>
      </c>
      <c r="H585" s="1346"/>
      <c r="I585" s="1346"/>
      <c r="J585" s="1346"/>
      <c r="K585" s="1346"/>
      <c r="L585" s="1346"/>
      <c r="M585" s="1346"/>
      <c r="N585" s="1346"/>
      <c r="O585" s="1346"/>
      <c r="P585" s="1346"/>
      <c r="Q585" s="1346"/>
      <c r="R585" s="1346"/>
      <c r="T585" s="55" t="s">
        <v>581</v>
      </c>
      <c r="U585" t="s">
        <v>463</v>
      </c>
      <c r="Z585" s="1346" t="str">
        <f>C565</f>
        <v>Seasons Apartments, LP</v>
      </c>
      <c r="AA585" s="1346"/>
      <c r="AB585" s="1346"/>
      <c r="AC585" s="1346"/>
      <c r="AD585" s="1346"/>
      <c r="AE585" s="1346"/>
      <c r="AF585" s="1346"/>
      <c r="AG585" s="1346"/>
      <c r="AH585" s="1346"/>
      <c r="AI585" s="1346"/>
      <c r="AJ585" s="1346"/>
      <c r="AK585" s="1346"/>
      <c r="BB585" s="3"/>
      <c r="BC585" s="3"/>
    </row>
    <row r="586" spans="1:61" ht="12.95" customHeight="1">
      <c r="A586" s="22"/>
      <c r="B586" t="s">
        <v>85</v>
      </c>
      <c r="G586" s="1272" t="s">
        <v>2648</v>
      </c>
      <c r="H586" s="1272"/>
      <c r="I586" s="1272"/>
      <c r="J586" s="1272"/>
      <c r="K586" s="1272"/>
      <c r="L586" s="1272"/>
      <c r="M586" s="1272"/>
      <c r="N586" s="1272"/>
      <c r="O586" s="1272"/>
      <c r="P586" s="1272"/>
      <c r="Q586" s="1272"/>
      <c r="R586" s="1272"/>
      <c r="T586" s="22"/>
      <c r="U586" t="s">
        <v>85</v>
      </c>
      <c r="Z586" s="1272" t="s">
        <v>2731</v>
      </c>
      <c r="AA586" s="1272"/>
      <c r="AB586" s="1272"/>
      <c r="AC586" s="1272"/>
      <c r="AD586" s="1272"/>
      <c r="AE586" s="1272"/>
      <c r="AF586" s="1272"/>
      <c r="AG586" s="1272"/>
      <c r="AH586" s="1272"/>
      <c r="AI586" s="1272"/>
      <c r="AJ586" s="1272"/>
      <c r="AK586" s="1272"/>
      <c r="BB586" s="3"/>
      <c r="BC586" s="3"/>
    </row>
    <row r="587" spans="1:61" ht="12.95" customHeight="1">
      <c r="A587" s="22"/>
      <c r="B587" t="s">
        <v>580</v>
      </c>
      <c r="G587" s="1271" t="s">
        <v>2745</v>
      </c>
      <c r="H587" s="1271"/>
      <c r="I587" s="1271"/>
      <c r="J587" s="1271"/>
      <c r="K587" s="1271"/>
      <c r="L587" s="1271"/>
      <c r="M587" s="1271"/>
      <c r="N587" s="1271"/>
      <c r="O587" s="1271"/>
      <c r="P587" s="1271"/>
      <c r="Q587" s="1271"/>
      <c r="R587" s="1271"/>
      <c r="T587" s="22"/>
      <c r="U587" t="s">
        <v>580</v>
      </c>
      <c r="Z587" s="1271" t="s">
        <v>2790</v>
      </c>
      <c r="AA587" s="1271"/>
      <c r="AB587" s="1271"/>
      <c r="AC587" s="1271"/>
      <c r="AD587" s="1271"/>
      <c r="AE587" s="1271"/>
      <c r="AF587" s="1271"/>
      <c r="AG587" s="1271"/>
      <c r="AH587" s="1271"/>
      <c r="AI587" s="1271"/>
      <c r="AJ587" s="1271"/>
      <c r="AK587" s="1271"/>
      <c r="BB587" s="3"/>
      <c r="BC587" s="3"/>
    </row>
    <row r="588" spans="1:61" ht="12.95" customHeight="1">
      <c r="A588" s="22"/>
      <c r="B588" t="s">
        <v>17</v>
      </c>
      <c r="G588" s="1271" t="s">
        <v>2746</v>
      </c>
      <c r="H588" s="1271"/>
      <c r="I588" s="1271"/>
      <c r="J588" s="1271"/>
      <c r="K588" s="1271"/>
      <c r="L588" s="1271"/>
      <c r="M588" s="1271"/>
      <c r="N588" s="1271"/>
      <c r="O588" s="1271"/>
      <c r="P588" s="1271"/>
      <c r="Q588" s="1271"/>
      <c r="R588" s="1271"/>
      <c r="T588" s="22"/>
      <c r="U588" t="s">
        <v>17</v>
      </c>
      <c r="Z588" s="1271" t="s">
        <v>2729</v>
      </c>
      <c r="AA588" s="1271"/>
      <c r="AB588" s="1271"/>
      <c r="AC588" s="1271"/>
      <c r="AD588" s="1271"/>
      <c r="AE588" s="1271"/>
      <c r="AF588" s="1271"/>
      <c r="AG588" s="1271"/>
      <c r="AH588" s="1271"/>
      <c r="AI588" s="1271"/>
      <c r="AJ588" s="1271"/>
      <c r="AK588" s="1271"/>
      <c r="BB588" s="3"/>
      <c r="BC588" s="3"/>
    </row>
    <row r="589" spans="1:61" ht="12.95" customHeight="1">
      <c r="A589" s="22"/>
      <c r="B589" t="s">
        <v>316</v>
      </c>
      <c r="G589" s="1280" t="s">
        <v>2650</v>
      </c>
      <c r="H589" s="1274"/>
      <c r="I589" s="1274"/>
      <c r="J589" s="1274"/>
      <c r="K589" s="1274"/>
      <c r="L589" s="1274"/>
      <c r="O589" s="33" t="s">
        <v>206</v>
      </c>
      <c r="P589" s="1345"/>
      <c r="Q589" s="1345"/>
      <c r="R589" s="1345"/>
      <c r="T589" s="22"/>
      <c r="U589" t="s">
        <v>316</v>
      </c>
      <c r="Z589" s="1280" t="s">
        <v>2789</v>
      </c>
      <c r="AA589" s="1274"/>
      <c r="AB589" s="1274"/>
      <c r="AC589" s="1274"/>
      <c r="AD589" s="1274"/>
      <c r="AE589" s="1274"/>
      <c r="AH589" s="33" t="s">
        <v>206</v>
      </c>
      <c r="AI589" s="1345"/>
      <c r="AJ589" s="1345"/>
      <c r="AK589" s="1345"/>
      <c r="BB589" s="3"/>
      <c r="BC589" s="3"/>
    </row>
    <row r="590" spans="1:61" ht="12.95" customHeight="1">
      <c r="A590" s="22"/>
      <c r="B590" t="s">
        <v>18</v>
      </c>
      <c r="H590" s="1272" t="s">
        <v>2772</v>
      </c>
      <c r="I590" s="1272"/>
      <c r="J590" s="1272"/>
      <c r="K590" s="1272"/>
      <c r="L590" s="1272"/>
      <c r="M590" s="1272"/>
      <c r="N590" s="1272"/>
      <c r="O590" s="1272"/>
      <c r="P590" s="1272"/>
      <c r="Q590" s="1272"/>
      <c r="R590" s="1272"/>
      <c r="T590" s="22"/>
      <c r="U590" t="s">
        <v>18</v>
      </c>
      <c r="AA590" s="1272" t="s">
        <v>2788</v>
      </c>
      <c r="AB590" s="1272"/>
      <c r="AC590" s="1272"/>
      <c r="AD590" s="1272"/>
      <c r="AE590" s="1272"/>
      <c r="AF590" s="1272"/>
      <c r="AG590" s="1272"/>
      <c r="AH590" s="1272"/>
      <c r="AI590" s="1272"/>
      <c r="AJ590" s="1272"/>
      <c r="AK590" s="1272"/>
      <c r="BB590" s="3"/>
      <c r="BC590" s="3"/>
    </row>
    <row r="591" spans="1:61" ht="12.95" customHeight="1">
      <c r="A591" s="22"/>
      <c r="B591" t="s">
        <v>20</v>
      </c>
      <c r="N591" s="1269" t="s">
        <v>545</v>
      </c>
      <c r="O591" s="1269"/>
      <c r="T591" s="22"/>
      <c r="U591" t="s">
        <v>20</v>
      </c>
      <c r="AG591" s="1269" t="s">
        <v>545</v>
      </c>
      <c r="AH591" s="1269"/>
      <c r="BB591" s="3"/>
      <c r="BC591" s="3"/>
    </row>
    <row r="592" spans="1:61" ht="12.95" customHeight="1">
      <c r="A592" s="22"/>
      <c r="T592" s="22"/>
      <c r="BB592" s="3"/>
      <c r="BC592" s="3"/>
    </row>
    <row r="593" spans="1:55" ht="12.95" customHeight="1">
      <c r="A593" s="55" t="s">
        <v>763</v>
      </c>
      <c r="B593" t="s">
        <v>463</v>
      </c>
      <c r="G593" s="1346" t="str">
        <f>C566</f>
        <v xml:space="preserve">Vintage Housing Holdings, LLC </v>
      </c>
      <c r="H593" s="1346"/>
      <c r="I593" s="1346"/>
      <c r="J593" s="1346"/>
      <c r="K593" s="1346"/>
      <c r="L593" s="1346"/>
      <c r="M593" s="1346"/>
      <c r="N593" s="1346"/>
      <c r="O593" s="1346"/>
      <c r="P593" s="1346"/>
      <c r="Q593" s="1346"/>
      <c r="R593" s="1346"/>
      <c r="T593" s="55" t="s">
        <v>584</v>
      </c>
      <c r="U593" t="s">
        <v>463</v>
      </c>
      <c r="Z593" s="1346" t="str">
        <f>C567</f>
        <v xml:space="preserve">Vintage Housing Holdings, LLC </v>
      </c>
      <c r="AA593" s="1346"/>
      <c r="AB593" s="1346"/>
      <c r="AC593" s="1346"/>
      <c r="AD593" s="1346"/>
      <c r="AE593" s="1346"/>
      <c r="AF593" s="1346"/>
      <c r="AG593" s="1346"/>
      <c r="AH593" s="1346"/>
      <c r="AI593" s="1346"/>
      <c r="AJ593" s="1346"/>
      <c r="AK593" s="1346"/>
      <c r="BB593" s="3"/>
      <c r="BC593" s="3"/>
    </row>
    <row r="594" spans="1:55" ht="12.95" customHeight="1">
      <c r="A594" s="22"/>
      <c r="B594" t="s">
        <v>85</v>
      </c>
      <c r="G594" s="1272" t="s">
        <v>2680</v>
      </c>
      <c r="H594" s="1272"/>
      <c r="I594" s="1272"/>
      <c r="J594" s="1272"/>
      <c r="K594" s="1272"/>
      <c r="L594" s="1272"/>
      <c r="M594" s="1272"/>
      <c r="N594" s="1272"/>
      <c r="O594" s="1272"/>
      <c r="P594" s="1272"/>
      <c r="Q594" s="1272"/>
      <c r="R594" s="1272"/>
      <c r="T594" s="22"/>
      <c r="U594" t="s">
        <v>85</v>
      </c>
      <c r="Z594" s="1272" t="s">
        <v>2680</v>
      </c>
      <c r="AA594" s="1272"/>
      <c r="AB594" s="1272"/>
      <c r="AC594" s="1272"/>
      <c r="AD594" s="1272"/>
      <c r="AE594" s="1272"/>
      <c r="AF594" s="1272"/>
      <c r="AG594" s="1272"/>
      <c r="AH594" s="1272"/>
      <c r="AI594" s="1272"/>
      <c r="AJ594" s="1272"/>
      <c r="AK594" s="1272"/>
      <c r="BB594" s="3"/>
      <c r="BC594" s="3"/>
    </row>
    <row r="595" spans="1:55" ht="12.95" customHeight="1">
      <c r="A595" s="22"/>
      <c r="B595" t="s">
        <v>580</v>
      </c>
      <c r="G595" s="1272" t="s">
        <v>2663</v>
      </c>
      <c r="H595" s="1272"/>
      <c r="I595" s="1272"/>
      <c r="J595" s="1272"/>
      <c r="K595" s="1272"/>
      <c r="L595" s="1272"/>
      <c r="M595" s="1272"/>
      <c r="N595" s="1272"/>
      <c r="O595" s="1272"/>
      <c r="P595" s="1272"/>
      <c r="Q595" s="1272"/>
      <c r="R595" s="1272"/>
      <c r="T595" s="22"/>
      <c r="U595" t="s">
        <v>580</v>
      </c>
      <c r="Z595" s="1271" t="s">
        <v>2747</v>
      </c>
      <c r="AA595" s="1271"/>
      <c r="AB595" s="1271"/>
      <c r="AC595" s="1271"/>
      <c r="AD595" s="1271"/>
      <c r="AE595" s="1271"/>
      <c r="AF595" s="1271"/>
      <c r="AG595" s="1271"/>
      <c r="AH595" s="1271"/>
      <c r="AI595" s="1271"/>
      <c r="AJ595" s="1271"/>
      <c r="AK595" s="1271"/>
      <c r="BB595" s="3"/>
      <c r="BC595" s="3"/>
    </row>
    <row r="596" spans="1:55" ht="12.95" customHeight="1">
      <c r="A596" s="22"/>
      <c r="B596" t="s">
        <v>17</v>
      </c>
      <c r="G596" s="1272" t="s">
        <v>2775</v>
      </c>
      <c r="H596" s="1272"/>
      <c r="I596" s="1272"/>
      <c r="J596" s="1272"/>
      <c r="K596" s="1272"/>
      <c r="L596" s="1272"/>
      <c r="M596" s="1272"/>
      <c r="N596" s="1272"/>
      <c r="O596" s="1272"/>
      <c r="P596" s="1272"/>
      <c r="Q596" s="1272"/>
      <c r="R596" s="1272"/>
      <c r="T596" s="22"/>
      <c r="U596" t="s">
        <v>17</v>
      </c>
      <c r="Z596" s="1271" t="s">
        <v>2775</v>
      </c>
      <c r="AA596" s="1271"/>
      <c r="AB596" s="1271"/>
      <c r="AC596" s="1271"/>
      <c r="AD596" s="1271"/>
      <c r="AE596" s="1271"/>
      <c r="AF596" s="1271"/>
      <c r="AG596" s="1271"/>
      <c r="AH596" s="1271"/>
      <c r="AI596" s="1271"/>
      <c r="AJ596" s="1271"/>
      <c r="AK596" s="1271"/>
    </row>
    <row r="597" spans="1:55" ht="12.95" customHeight="1">
      <c r="A597" s="22"/>
      <c r="B597" t="s">
        <v>316</v>
      </c>
      <c r="G597" s="1280">
        <v>9497216775</v>
      </c>
      <c r="H597" s="1274"/>
      <c r="I597" s="1274"/>
      <c r="J597" s="1274"/>
      <c r="K597" s="1274"/>
      <c r="L597" s="1274"/>
      <c r="O597" s="33" t="s">
        <v>206</v>
      </c>
      <c r="P597" s="1345"/>
      <c r="Q597" s="1345"/>
      <c r="R597" s="1345"/>
      <c r="T597" s="22"/>
      <c r="U597" t="s">
        <v>316</v>
      </c>
      <c r="Z597" s="1280" t="s">
        <v>2716</v>
      </c>
      <c r="AA597" s="1274"/>
      <c r="AB597" s="1274"/>
      <c r="AC597" s="1274"/>
      <c r="AD597" s="1274"/>
      <c r="AE597" s="1274"/>
      <c r="AH597" s="33" t="s">
        <v>206</v>
      </c>
      <c r="AI597" s="1345"/>
      <c r="AJ597" s="1345"/>
      <c r="AK597" s="1345"/>
      <c r="AZ597" s="3"/>
      <c r="BA597" s="3"/>
      <c r="BB597" s="3"/>
      <c r="BC597" s="3"/>
    </row>
    <row r="598" spans="1:55" ht="12.95" customHeight="1">
      <c r="A598" s="22"/>
      <c r="B598" t="s">
        <v>18</v>
      </c>
      <c r="H598" s="1272" t="s">
        <v>2752</v>
      </c>
      <c r="I598" s="1272"/>
      <c r="J598" s="1272"/>
      <c r="K598" s="1272"/>
      <c r="L598" s="1272"/>
      <c r="M598" s="1272"/>
      <c r="N598" s="1272"/>
      <c r="O598" s="1272"/>
      <c r="P598" s="1272"/>
      <c r="Q598" s="1272"/>
      <c r="R598" s="1272"/>
      <c r="T598" s="22"/>
      <c r="U598" t="s">
        <v>18</v>
      </c>
      <c r="AA598" s="1272" t="s">
        <v>2751</v>
      </c>
      <c r="AB598" s="1272"/>
      <c r="AC598" s="1272"/>
      <c r="AD598" s="1272"/>
      <c r="AE598" s="1272"/>
      <c r="AF598" s="1272"/>
      <c r="AG598" s="1272"/>
      <c r="AH598" s="1272"/>
      <c r="AI598" s="1272"/>
      <c r="AJ598" s="1272"/>
      <c r="AK598" s="1272"/>
      <c r="AZ598" s="3"/>
      <c r="BA598" s="3"/>
      <c r="BB598" s="3"/>
      <c r="BC598" s="3"/>
    </row>
    <row r="599" spans="1:55" ht="12.95" customHeight="1">
      <c r="A599" s="22"/>
      <c r="B599" t="s">
        <v>20</v>
      </c>
      <c r="N599" s="1269" t="s">
        <v>545</v>
      </c>
      <c r="O599" s="1269"/>
      <c r="T599" s="22"/>
      <c r="U599" t="s">
        <v>20</v>
      </c>
      <c r="AG599" s="1269" t="s">
        <v>545</v>
      </c>
      <c r="AH599" s="1269"/>
      <c r="AZ599" s="3"/>
      <c r="BA599" s="3"/>
      <c r="BB599" s="3"/>
      <c r="BC599" s="3"/>
    </row>
    <row r="600" spans="1:55" ht="12.95" customHeight="1">
      <c r="A600" s="22"/>
      <c r="T600" s="22"/>
      <c r="AZ600" s="3"/>
      <c r="BA600" s="3"/>
      <c r="BB600" s="3"/>
      <c r="BC600" s="3"/>
    </row>
    <row r="601" spans="1:55" ht="12.95" customHeight="1">
      <c r="A601" s="55" t="s">
        <v>455</v>
      </c>
      <c r="B601" t="s">
        <v>463</v>
      </c>
      <c r="G601" s="1346" t="str">
        <f>C568</f>
        <v>Vintage Housing Development, Inc.</v>
      </c>
      <c r="H601" s="1346"/>
      <c r="I601" s="1346"/>
      <c r="J601" s="1346"/>
      <c r="K601" s="1346"/>
      <c r="L601" s="1346"/>
      <c r="M601" s="1346"/>
      <c r="N601" s="1346"/>
      <c r="O601" s="1346"/>
      <c r="P601" s="1346"/>
      <c r="Q601" s="1346"/>
      <c r="R601" s="1346"/>
      <c r="T601" s="55" t="s">
        <v>456</v>
      </c>
      <c r="U601" t="s">
        <v>463</v>
      </c>
      <c r="Z601" s="1346" t="str">
        <f>C569</f>
        <v>R4 Capital</v>
      </c>
      <c r="AA601" s="1346"/>
      <c r="AB601" s="1346"/>
      <c r="AC601" s="1346"/>
      <c r="AD601" s="1346"/>
      <c r="AE601" s="1346"/>
      <c r="AF601" s="1346"/>
      <c r="AG601" s="1346"/>
      <c r="AH601" s="1346"/>
      <c r="AI601" s="1346"/>
      <c r="AJ601" s="1346"/>
      <c r="AK601" s="1346"/>
      <c r="AZ601" s="3"/>
      <c r="BA601" s="3"/>
      <c r="BB601" s="3"/>
      <c r="BC601" s="3"/>
    </row>
    <row r="602" spans="1:55" s="4" customFormat="1" ht="12.95" customHeight="1">
      <c r="A602" s="22"/>
      <c r="B602" t="s">
        <v>85</v>
      </c>
      <c r="C602"/>
      <c r="D602"/>
      <c r="E602"/>
      <c r="F602"/>
      <c r="G602" s="1272" t="s">
        <v>2680</v>
      </c>
      <c r="H602" s="1272"/>
      <c r="I602" s="1272"/>
      <c r="J602" s="1272"/>
      <c r="K602" s="1272"/>
      <c r="L602" s="1272"/>
      <c r="M602" s="1272"/>
      <c r="N602" s="1272"/>
      <c r="O602" s="1272"/>
      <c r="P602" s="1272"/>
      <c r="Q602" s="1272"/>
      <c r="R602" s="1272"/>
      <c r="S602"/>
      <c r="T602" s="22"/>
      <c r="U602" t="s">
        <v>85</v>
      </c>
      <c r="V602"/>
      <c r="W602"/>
      <c r="X602"/>
      <c r="Y602"/>
      <c r="Z602" s="1272" t="s">
        <v>2699</v>
      </c>
      <c r="AA602" s="1272"/>
      <c r="AB602" s="1272"/>
      <c r="AC602" s="1272"/>
      <c r="AD602" s="1272"/>
      <c r="AE602" s="1272"/>
      <c r="AF602" s="1272"/>
      <c r="AG602" s="1272"/>
      <c r="AH602" s="1272"/>
      <c r="AI602" s="1272"/>
      <c r="AJ602" s="1272"/>
      <c r="AK602" s="1272"/>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272" t="s">
        <v>2663</v>
      </c>
      <c r="H603" s="1272"/>
      <c r="I603" s="1272"/>
      <c r="J603" s="1272"/>
      <c r="K603" s="1272"/>
      <c r="L603" s="1272"/>
      <c r="M603" s="1272"/>
      <c r="N603" s="1272"/>
      <c r="O603" s="1272"/>
      <c r="P603" s="1272"/>
      <c r="Q603" s="1272"/>
      <c r="R603" s="1272"/>
      <c r="S603"/>
      <c r="T603" s="22"/>
      <c r="U603" t="s">
        <v>580</v>
      </c>
      <c r="V603"/>
      <c r="W603"/>
      <c r="X603"/>
      <c r="Y603"/>
      <c r="Z603" s="1272" t="s">
        <v>2747</v>
      </c>
      <c r="AA603" s="1272"/>
      <c r="AB603" s="1272"/>
      <c r="AC603" s="1272"/>
      <c r="AD603" s="1272"/>
      <c r="AE603" s="1272"/>
      <c r="AF603" s="1272"/>
      <c r="AG603" s="1272"/>
      <c r="AH603" s="1272"/>
      <c r="AI603" s="1272"/>
      <c r="AJ603" s="1272"/>
      <c r="AK603" s="1272"/>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272" t="s">
        <v>2770</v>
      </c>
      <c r="H604" s="1272"/>
      <c r="I604" s="1272"/>
      <c r="J604" s="1272"/>
      <c r="K604" s="1272"/>
      <c r="L604" s="1272"/>
      <c r="M604" s="1272"/>
      <c r="N604" s="1272"/>
      <c r="O604" s="1272"/>
      <c r="P604" s="1272"/>
      <c r="Q604" s="1272"/>
      <c r="R604" s="1272"/>
      <c r="S604"/>
      <c r="T604" s="22"/>
      <c r="U604" t="s">
        <v>17</v>
      </c>
      <c r="V604"/>
      <c r="W604"/>
      <c r="X604"/>
      <c r="Y604"/>
      <c r="Z604" s="1272" t="s">
        <v>2774</v>
      </c>
      <c r="AA604" s="1272"/>
      <c r="AB604" s="1272"/>
      <c r="AC604" s="1272"/>
      <c r="AD604" s="1272"/>
      <c r="AE604" s="1272"/>
      <c r="AF604" s="1272"/>
      <c r="AG604" s="1272"/>
      <c r="AH604" s="1272"/>
      <c r="AI604" s="1272"/>
      <c r="AJ604" s="1272"/>
      <c r="AK604" s="1272"/>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280" t="s">
        <v>2658</v>
      </c>
      <c r="H605" s="1274"/>
      <c r="I605" s="1274"/>
      <c r="J605" s="1274"/>
      <c r="K605" s="1274"/>
      <c r="L605" s="1274"/>
      <c r="M605"/>
      <c r="N605"/>
      <c r="O605" s="33" t="s">
        <v>206</v>
      </c>
      <c r="P605" s="1345"/>
      <c r="Q605" s="1345"/>
      <c r="R605" s="1345"/>
      <c r="S605"/>
      <c r="T605" s="22"/>
      <c r="U605" t="s">
        <v>316</v>
      </c>
      <c r="V605"/>
      <c r="W605"/>
      <c r="X605"/>
      <c r="Y605"/>
      <c r="Z605" s="1280">
        <v>9494381056</v>
      </c>
      <c r="AA605" s="1274"/>
      <c r="AB605" s="1274"/>
      <c r="AC605" s="1274"/>
      <c r="AD605" s="1274"/>
      <c r="AE605" s="1274"/>
      <c r="AF605"/>
      <c r="AG605"/>
      <c r="AH605" s="33" t="s">
        <v>206</v>
      </c>
      <c r="AI605" s="1345"/>
      <c r="AJ605" s="1345"/>
      <c r="AK605" s="1345"/>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272" t="s">
        <v>2261</v>
      </c>
      <c r="I606" s="1272"/>
      <c r="J606" s="1272"/>
      <c r="K606" s="1272"/>
      <c r="L606" s="1272"/>
      <c r="M606" s="1272"/>
      <c r="N606" s="1272"/>
      <c r="O606" s="1272"/>
      <c r="P606" s="1272"/>
      <c r="Q606" s="1272"/>
      <c r="R606" s="1272"/>
      <c r="S606"/>
      <c r="T606" s="22"/>
      <c r="U606" t="s">
        <v>18</v>
      </c>
      <c r="V606"/>
      <c r="W606"/>
      <c r="X606"/>
      <c r="Y606"/>
      <c r="Z606"/>
      <c r="AA606" s="1272" t="s">
        <v>2787</v>
      </c>
      <c r="AB606" s="1272"/>
      <c r="AC606" s="1272"/>
      <c r="AD606" s="1272"/>
      <c r="AE606" s="1272"/>
      <c r="AF606" s="1272"/>
      <c r="AG606" s="1272"/>
      <c r="AH606" s="1272"/>
      <c r="AI606" s="1272"/>
      <c r="AJ606" s="1272"/>
      <c r="AK606" s="1272"/>
      <c r="AL606"/>
      <c r="AM606"/>
      <c r="AN606"/>
      <c r="AO606"/>
      <c r="AP606"/>
      <c r="AQ606"/>
      <c r="AR606"/>
      <c r="AS606"/>
      <c r="AT606"/>
      <c r="AU606"/>
      <c r="AV606"/>
      <c r="AW606"/>
      <c r="AX606"/>
      <c r="AY606"/>
      <c r="BB606" s="3"/>
      <c r="BC606" s="3"/>
    </row>
    <row r="607" spans="1:55" ht="12.95" customHeight="1">
      <c r="A607" s="22"/>
      <c r="B607" t="s">
        <v>20</v>
      </c>
      <c r="N607" s="1269" t="s">
        <v>545</v>
      </c>
      <c r="O607" s="1269"/>
      <c r="T607" s="22"/>
      <c r="U607" t="s">
        <v>20</v>
      </c>
      <c r="AG607" s="1269" t="s">
        <v>545</v>
      </c>
      <c r="AH607" s="1269"/>
      <c r="BB607" s="3"/>
      <c r="BC607" s="3"/>
    </row>
    <row r="608" spans="1:55" ht="12.95" customHeight="1">
      <c r="A608" s="22"/>
      <c r="T608" s="22"/>
      <c r="BB608" s="3"/>
      <c r="BC608" s="3"/>
    </row>
    <row r="609" spans="1:55" ht="12.95" customHeight="1">
      <c r="A609" s="55" t="s">
        <v>461</v>
      </c>
      <c r="B609" t="s">
        <v>463</v>
      </c>
      <c r="G609" s="1346">
        <f>C570</f>
        <v>0</v>
      </c>
      <c r="H609" s="1346"/>
      <c r="I609" s="1346"/>
      <c r="J609" s="1346"/>
      <c r="K609" s="1346"/>
      <c r="L609" s="1346"/>
      <c r="M609" s="1346"/>
      <c r="N609" s="1346"/>
      <c r="O609" s="1346"/>
      <c r="P609" s="1346"/>
      <c r="Q609" s="1346"/>
      <c r="R609" s="1346"/>
      <c r="T609" s="55" t="s">
        <v>646</v>
      </c>
      <c r="U609" t="s">
        <v>463</v>
      </c>
      <c r="Z609" s="1346">
        <f>C571</f>
        <v>0</v>
      </c>
      <c r="AA609" s="1346"/>
      <c r="AB609" s="1346"/>
      <c r="AC609" s="1346"/>
      <c r="AD609" s="1346"/>
      <c r="AE609" s="1346"/>
      <c r="AF609" s="1346"/>
      <c r="AG609" s="1346"/>
      <c r="AH609" s="1346"/>
      <c r="AI609" s="1346"/>
      <c r="AJ609" s="1346"/>
      <c r="AK609" s="1346"/>
      <c r="BB609" s="3"/>
      <c r="BC609" s="3"/>
    </row>
    <row r="610" spans="1:55" ht="12.95" customHeight="1">
      <c r="A610" s="22"/>
      <c r="B610" t="s">
        <v>85</v>
      </c>
      <c r="G610" s="1272"/>
      <c r="H610" s="1272"/>
      <c r="I610" s="1272"/>
      <c r="J610" s="1272"/>
      <c r="K610" s="1272"/>
      <c r="L610" s="1272"/>
      <c r="M610" s="1272"/>
      <c r="N610" s="1272"/>
      <c r="O610" s="1272"/>
      <c r="P610" s="1272"/>
      <c r="Q610" s="1272"/>
      <c r="R610" s="1272"/>
      <c r="T610" s="22"/>
      <c r="U610" t="s">
        <v>85</v>
      </c>
      <c r="Z610" s="1272"/>
      <c r="AA610" s="1272"/>
      <c r="AB610" s="1272"/>
      <c r="AC610" s="1272"/>
      <c r="AD610" s="1272"/>
      <c r="AE610" s="1272"/>
      <c r="AF610" s="1272"/>
      <c r="AG610" s="1272"/>
      <c r="AH610" s="1272"/>
      <c r="AI610" s="1272"/>
      <c r="AJ610" s="1272"/>
      <c r="AK610" s="1272"/>
      <c r="AZ610" s="3"/>
      <c r="BA610" s="3"/>
      <c r="BB610" s="3"/>
      <c r="BC610" s="3"/>
    </row>
    <row r="611" spans="1:55" ht="12.95" customHeight="1">
      <c r="A611" s="22"/>
      <c r="B611" t="s">
        <v>580</v>
      </c>
      <c r="G611" s="1272"/>
      <c r="H611" s="1272"/>
      <c r="I611" s="1272"/>
      <c r="J611" s="1272"/>
      <c r="K611" s="1272"/>
      <c r="L611" s="1272"/>
      <c r="M611" s="1272"/>
      <c r="N611" s="1272"/>
      <c r="O611" s="1272"/>
      <c r="P611" s="1272"/>
      <c r="Q611" s="1272"/>
      <c r="R611" s="1272"/>
      <c r="T611" s="22"/>
      <c r="U611" t="s">
        <v>580</v>
      </c>
      <c r="Z611" s="1271"/>
      <c r="AA611" s="1271"/>
      <c r="AB611" s="1271"/>
      <c r="AC611" s="1271"/>
      <c r="AD611" s="1271"/>
      <c r="AE611" s="1271"/>
      <c r="AF611" s="1271"/>
      <c r="AG611" s="1271"/>
      <c r="AH611" s="1271"/>
      <c r="AI611" s="1271"/>
      <c r="AJ611" s="1271"/>
      <c r="AK611" s="1271"/>
      <c r="AZ611" s="3"/>
      <c r="BA611" s="3"/>
      <c r="BB611" s="3"/>
      <c r="BC611" s="3"/>
    </row>
    <row r="612" spans="1:55" ht="12.95" customHeight="1">
      <c r="A612" s="22"/>
      <c r="B612" t="s">
        <v>17</v>
      </c>
      <c r="G612" s="1272"/>
      <c r="H612" s="1272"/>
      <c r="I612" s="1272"/>
      <c r="J612" s="1272"/>
      <c r="K612" s="1272"/>
      <c r="L612" s="1272"/>
      <c r="M612" s="1272"/>
      <c r="N612" s="1272"/>
      <c r="O612" s="1272"/>
      <c r="P612" s="1272"/>
      <c r="Q612" s="1272"/>
      <c r="R612" s="1272"/>
      <c r="T612" s="22"/>
      <c r="U612" t="s">
        <v>17</v>
      </c>
      <c r="Z612" s="1271"/>
      <c r="AA612" s="1271"/>
      <c r="AB612" s="1271"/>
      <c r="AC612" s="1271"/>
      <c r="AD612" s="1271"/>
      <c r="AE612" s="1271"/>
      <c r="AF612" s="1271"/>
      <c r="AG612" s="1271"/>
      <c r="AH612" s="1271"/>
      <c r="AI612" s="1271"/>
      <c r="AJ612" s="1271"/>
      <c r="AK612" s="1271"/>
      <c r="AZ612" s="3"/>
      <c r="BA612" s="3"/>
      <c r="BB612" s="3"/>
      <c r="BC612" s="3"/>
    </row>
    <row r="613" spans="1:55" s="4" customFormat="1" ht="12.95" customHeight="1">
      <c r="A613" s="22"/>
      <c r="B613" t="s">
        <v>316</v>
      </c>
      <c r="C613"/>
      <c r="D613"/>
      <c r="E613"/>
      <c r="F613"/>
      <c r="G613" s="1274"/>
      <c r="H613" s="1274"/>
      <c r="I613" s="1274"/>
      <c r="J613" s="1274"/>
      <c r="K613" s="1274"/>
      <c r="L613" s="1274"/>
      <c r="M613"/>
      <c r="N613"/>
      <c r="O613" s="33" t="s">
        <v>206</v>
      </c>
      <c r="P613" s="1345"/>
      <c r="Q613" s="1345"/>
      <c r="R613" s="1345"/>
      <c r="S613"/>
      <c r="T613" s="22"/>
      <c r="U613" t="s">
        <v>316</v>
      </c>
      <c r="V613"/>
      <c r="W613"/>
      <c r="X613"/>
      <c r="Y613"/>
      <c r="Z613" s="1274"/>
      <c r="AA613" s="1274"/>
      <c r="AB613" s="1274"/>
      <c r="AC613" s="1274"/>
      <c r="AD613" s="1274"/>
      <c r="AE613" s="1274"/>
      <c r="AF613"/>
      <c r="AG613"/>
      <c r="AH613" s="33" t="s">
        <v>206</v>
      </c>
      <c r="AI613" s="1345"/>
      <c r="AJ613" s="1345"/>
      <c r="AK613" s="1345"/>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272"/>
      <c r="I614" s="1272"/>
      <c r="J614" s="1272"/>
      <c r="K614" s="1272"/>
      <c r="L614" s="1272"/>
      <c r="M614" s="1272"/>
      <c r="N614" s="1272"/>
      <c r="O614" s="1272"/>
      <c r="P614" s="1272"/>
      <c r="Q614" s="1272"/>
      <c r="R614" s="1272"/>
      <c r="S614"/>
      <c r="T614" s="22"/>
      <c r="U614" t="s">
        <v>18</v>
      </c>
      <c r="V614"/>
      <c r="W614"/>
      <c r="X614"/>
      <c r="Y614"/>
      <c r="Z614"/>
      <c r="AA614" s="1272"/>
      <c r="AB614" s="1272"/>
      <c r="AC614" s="1272"/>
      <c r="AD614" s="1272"/>
      <c r="AE614" s="1272"/>
      <c r="AF614" s="1272"/>
      <c r="AG614" s="1272"/>
      <c r="AH614" s="1272"/>
      <c r="AI614" s="1272"/>
      <c r="AJ614" s="1272"/>
      <c r="AK614" s="127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269" t="s">
        <v>669</v>
      </c>
      <c r="O615" s="1269"/>
      <c r="P615"/>
      <c r="Q615"/>
      <c r="R615"/>
      <c r="S615"/>
      <c r="T615" s="22"/>
      <c r="U615" t="s">
        <v>20</v>
      </c>
      <c r="V615"/>
      <c r="W615"/>
      <c r="X615"/>
      <c r="Y615"/>
      <c r="Z615"/>
      <c r="AA615"/>
      <c r="AB615"/>
      <c r="AC615"/>
      <c r="AD615"/>
      <c r="AE615"/>
      <c r="AF615"/>
      <c r="AG615" s="1269" t="s">
        <v>669</v>
      </c>
      <c r="AH615" s="126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46">
        <f>C572</f>
        <v>0</v>
      </c>
      <c r="H617" s="1346"/>
      <c r="I617" s="1346"/>
      <c r="J617" s="1346"/>
      <c r="K617" s="1346"/>
      <c r="L617" s="1346"/>
      <c r="M617" s="1346"/>
      <c r="N617" s="1346"/>
      <c r="O617" s="1346"/>
      <c r="P617" s="1346"/>
      <c r="Q617" s="1346"/>
      <c r="R617" s="1346"/>
      <c r="T617" s="55" t="s">
        <v>363</v>
      </c>
      <c r="U617" t="s">
        <v>463</v>
      </c>
      <c r="Z617" s="1346">
        <f>C573</f>
        <v>0</v>
      </c>
      <c r="AA617" s="1346"/>
      <c r="AB617" s="1346"/>
      <c r="AC617" s="1346"/>
      <c r="AD617" s="1346"/>
      <c r="AE617" s="1346"/>
      <c r="AF617" s="1346"/>
      <c r="AG617" s="1346"/>
      <c r="AH617" s="1346"/>
      <c r="AI617" s="1346"/>
      <c r="AJ617" s="1346"/>
      <c r="AK617" s="1346"/>
      <c r="AZ617" s="3"/>
      <c r="BA617" s="3"/>
      <c r="BB617" s="3"/>
      <c r="BC617" s="3"/>
    </row>
    <row r="618" spans="1:55" ht="12.95" customHeight="1">
      <c r="B618" t="s">
        <v>85</v>
      </c>
      <c r="G618" s="1272"/>
      <c r="H618" s="1272"/>
      <c r="I618" s="1272"/>
      <c r="J618" s="1272"/>
      <c r="K618" s="1272"/>
      <c r="L618" s="1272"/>
      <c r="M618" s="1272"/>
      <c r="N618" s="1272"/>
      <c r="O618" s="1272"/>
      <c r="P618" s="1272"/>
      <c r="Q618" s="1272"/>
      <c r="R618" s="1272"/>
      <c r="U618" t="s">
        <v>85</v>
      </c>
      <c r="Z618" s="1272"/>
      <c r="AA618" s="1272"/>
      <c r="AB618" s="1272"/>
      <c r="AC618" s="1272"/>
      <c r="AD618" s="1272"/>
      <c r="AE618" s="1272"/>
      <c r="AF618" s="1272"/>
      <c r="AG618" s="1272"/>
      <c r="AH618" s="1272"/>
      <c r="AI618" s="1272"/>
      <c r="AJ618" s="1272"/>
      <c r="AK618" s="1272"/>
      <c r="AZ618" s="3"/>
      <c r="BA618" s="3"/>
      <c r="BB618" s="3"/>
      <c r="BC618" s="3"/>
    </row>
    <row r="619" spans="1:55" ht="12.95" customHeight="1">
      <c r="B619" t="s">
        <v>580</v>
      </c>
      <c r="G619" s="1272"/>
      <c r="H619" s="1272"/>
      <c r="I619" s="1272"/>
      <c r="J619" s="1272"/>
      <c r="K619" s="1272"/>
      <c r="L619" s="1272"/>
      <c r="M619" s="1272"/>
      <c r="N619" s="1272"/>
      <c r="O619" s="1272"/>
      <c r="P619" s="1272"/>
      <c r="Q619" s="1272"/>
      <c r="R619" s="1272"/>
      <c r="U619" t="s">
        <v>580</v>
      </c>
      <c r="Z619" s="1271"/>
      <c r="AA619" s="1271"/>
      <c r="AB619" s="1271"/>
      <c r="AC619" s="1271"/>
      <c r="AD619" s="1271"/>
      <c r="AE619" s="1271"/>
      <c r="AF619" s="1271"/>
      <c r="AG619" s="1271"/>
      <c r="AH619" s="1271"/>
      <c r="AI619" s="1271"/>
      <c r="AJ619" s="1271"/>
      <c r="AK619" s="1271"/>
      <c r="AZ619" s="3"/>
      <c r="BA619" s="3"/>
      <c r="BB619" s="3"/>
      <c r="BC619" s="3"/>
    </row>
    <row r="620" spans="1:55" ht="12.95" customHeight="1">
      <c r="B620" t="s">
        <v>17</v>
      </c>
      <c r="G620" s="1272"/>
      <c r="H620" s="1272"/>
      <c r="I620" s="1272"/>
      <c r="J620" s="1272"/>
      <c r="K620" s="1272"/>
      <c r="L620" s="1272"/>
      <c r="M620" s="1272"/>
      <c r="N620" s="1272"/>
      <c r="O620" s="1272"/>
      <c r="P620" s="1272"/>
      <c r="Q620" s="1272"/>
      <c r="R620" s="1272"/>
      <c r="U620" t="s">
        <v>17</v>
      </c>
      <c r="Z620" s="1271"/>
      <c r="AA620" s="1271"/>
      <c r="AB620" s="1271"/>
      <c r="AC620" s="1271"/>
      <c r="AD620" s="1271"/>
      <c r="AE620" s="1271"/>
      <c r="AF620" s="1271"/>
      <c r="AG620" s="1271"/>
      <c r="AH620" s="1271"/>
      <c r="AI620" s="1271"/>
      <c r="AJ620" s="1271"/>
      <c r="AK620" s="1271"/>
      <c r="AZ620" s="3"/>
      <c r="BA620" s="3"/>
      <c r="BB620" s="3"/>
      <c r="BC620" s="3"/>
    </row>
    <row r="621" spans="1:55" ht="12.95" customHeight="1">
      <c r="B621" t="s">
        <v>316</v>
      </c>
      <c r="G621" s="1274"/>
      <c r="H621" s="1274"/>
      <c r="I621" s="1274"/>
      <c r="J621" s="1274"/>
      <c r="K621" s="1274"/>
      <c r="L621" s="1274"/>
      <c r="O621" s="33" t="s">
        <v>206</v>
      </c>
      <c r="P621" s="1345"/>
      <c r="Q621" s="1345"/>
      <c r="R621" s="1345"/>
      <c r="U621" t="s">
        <v>316</v>
      </c>
      <c r="Z621" s="1274"/>
      <c r="AA621" s="1274"/>
      <c r="AB621" s="1274"/>
      <c r="AC621" s="1274"/>
      <c r="AD621" s="1274"/>
      <c r="AE621" s="1274"/>
      <c r="AH621" s="33" t="s">
        <v>206</v>
      </c>
      <c r="AI621" s="1345"/>
      <c r="AJ621" s="1345"/>
      <c r="AK621" s="1345"/>
      <c r="AZ621" s="3"/>
      <c r="BA621" s="3"/>
      <c r="BB621" s="3"/>
      <c r="BC621" s="3"/>
    </row>
    <row r="622" spans="1:55" ht="12.95" customHeight="1">
      <c r="B622" t="s">
        <v>18</v>
      </c>
      <c r="H622" s="1272"/>
      <c r="I622" s="1272"/>
      <c r="J622" s="1272"/>
      <c r="K622" s="1272"/>
      <c r="L622" s="1272"/>
      <c r="M622" s="1272"/>
      <c r="N622" s="1272"/>
      <c r="O622" s="1272"/>
      <c r="P622" s="1272"/>
      <c r="Q622" s="1272"/>
      <c r="R622" s="1272"/>
      <c r="U622" t="s">
        <v>18</v>
      </c>
      <c r="AA622" s="1272"/>
      <c r="AB622" s="1272"/>
      <c r="AC622" s="1272"/>
      <c r="AD622" s="1272"/>
      <c r="AE622" s="1272"/>
      <c r="AF622" s="1272"/>
      <c r="AG622" s="1272"/>
      <c r="AH622" s="1272"/>
      <c r="AI622" s="1272"/>
      <c r="AJ622" s="1272"/>
      <c r="AK622" s="1272"/>
      <c r="AU622" s="895"/>
      <c r="AV622" s="895"/>
      <c r="AW622" s="895"/>
      <c r="AX622" s="895"/>
      <c r="AY622" s="895"/>
      <c r="AZ622" s="3"/>
      <c r="BA622" s="3"/>
      <c r="BB622" s="3"/>
      <c r="BC622" s="3"/>
    </row>
    <row r="623" spans="1:55" ht="12.95" customHeight="1">
      <c r="B623" t="s">
        <v>20</v>
      </c>
      <c r="N623" s="1269" t="s">
        <v>669</v>
      </c>
      <c r="O623" s="1269"/>
      <c r="U623" t="s">
        <v>20</v>
      </c>
      <c r="AG623" s="1269" t="s">
        <v>669</v>
      </c>
      <c r="AH623" s="1269"/>
      <c r="AU623" s="895"/>
      <c r="AV623" s="895"/>
      <c r="AW623" s="895"/>
      <c r="AX623" s="895"/>
      <c r="AY623" s="895"/>
      <c r="AZ623" s="3"/>
      <c r="BA623" s="3"/>
      <c r="BB623" s="3"/>
      <c r="BC623" s="3"/>
    </row>
    <row r="624" spans="1:55" ht="12.95" customHeight="1">
      <c r="AZ624" s="3"/>
      <c r="BA624" s="3"/>
      <c r="BB624" s="3"/>
      <c r="BC624" s="3"/>
    </row>
    <row r="625" spans="1:56" ht="12.95" customHeight="1">
      <c r="A625" s="1574" t="s">
        <v>544</v>
      </c>
      <c r="B625" s="1574"/>
      <c r="C625" s="1574"/>
      <c r="D625" s="1574"/>
      <c r="E625" s="1574"/>
      <c r="F625" s="1574"/>
      <c r="G625" s="1574"/>
      <c r="H625" s="1574"/>
      <c r="I625" s="1574"/>
      <c r="J625" s="1574"/>
      <c r="K625" s="1574"/>
      <c r="L625" s="1574"/>
      <c r="M625" s="1574"/>
      <c r="N625" s="1574"/>
      <c r="O625" s="1574"/>
      <c r="P625" s="1574"/>
      <c r="Q625" s="1574"/>
      <c r="R625" s="1574"/>
      <c r="S625" s="1574"/>
      <c r="T625" s="1574"/>
      <c r="U625" s="1574"/>
      <c r="V625" s="1574"/>
      <c r="W625" s="1574"/>
      <c r="X625" s="1574"/>
      <c r="Y625" s="1574"/>
      <c r="Z625" s="1574"/>
      <c r="AA625" s="1574"/>
      <c r="AB625" s="1574"/>
      <c r="AC625" s="1574"/>
      <c r="AD625" s="1574"/>
      <c r="AE625" s="1574"/>
      <c r="AF625" s="1574"/>
      <c r="AG625" s="1574"/>
      <c r="AH625" s="1574"/>
      <c r="AI625" s="1574"/>
      <c r="AJ625" s="1574"/>
      <c r="AK625" s="1574"/>
      <c r="AL625" s="1574"/>
      <c r="AM625" s="1574"/>
      <c r="AN625" s="1574"/>
      <c r="AO625" s="1574"/>
      <c r="AP625" s="1574"/>
      <c r="AQ625" s="1574"/>
      <c r="AR625" s="1574"/>
      <c r="AS625" s="1574"/>
      <c r="AT625" s="1574"/>
      <c r="AZ625" s="3"/>
      <c r="BA625" s="3"/>
      <c r="BB625" s="3"/>
      <c r="BC625" s="3"/>
    </row>
    <row r="626" spans="1:56" ht="12.95" customHeight="1">
      <c r="A626" s="1574"/>
      <c r="B626" s="1574"/>
      <c r="C626" s="1574"/>
      <c r="D626" s="1574"/>
      <c r="E626" s="1574"/>
      <c r="F626" s="1574"/>
      <c r="G626" s="1574"/>
      <c r="H626" s="1574"/>
      <c r="I626" s="1574"/>
      <c r="J626" s="1574"/>
      <c r="K626" s="1574"/>
      <c r="L626" s="1574"/>
      <c r="M626" s="1574"/>
      <c r="N626" s="1574"/>
      <c r="O626" s="1574"/>
      <c r="P626" s="1574"/>
      <c r="Q626" s="1574"/>
      <c r="R626" s="1574"/>
      <c r="S626" s="1574"/>
      <c r="T626" s="1574"/>
      <c r="U626" s="1574"/>
      <c r="V626" s="1574"/>
      <c r="W626" s="1574"/>
      <c r="X626" s="1574"/>
      <c r="Y626" s="1574"/>
      <c r="Z626" s="1574"/>
      <c r="AA626" s="1574"/>
      <c r="AB626" s="1574"/>
      <c r="AC626" s="1574"/>
      <c r="AD626" s="1574"/>
      <c r="AE626" s="1574"/>
      <c r="AF626" s="1574"/>
      <c r="AG626" s="1574"/>
      <c r="AH626" s="1574"/>
      <c r="AI626" s="1574"/>
      <c r="AJ626" s="1574"/>
      <c r="AK626" s="1574"/>
      <c r="AL626" s="1574"/>
      <c r="AM626" s="1574"/>
      <c r="AN626" s="1574"/>
      <c r="AO626" s="1574"/>
      <c r="AP626" s="1574"/>
      <c r="AQ626" s="1574"/>
      <c r="AR626" s="1574"/>
      <c r="AS626" s="1574"/>
      <c r="AT626" s="1574"/>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573" t="s">
        <v>2057</v>
      </c>
      <c r="C632" s="1573"/>
      <c r="D632" s="1573"/>
      <c r="E632" s="1573"/>
      <c r="F632" s="1573"/>
      <c r="G632" s="1573"/>
      <c r="H632" s="1573"/>
      <c r="I632" s="1573"/>
      <c r="J632" s="1573"/>
      <c r="K632" s="1573"/>
      <c r="L632" s="1573"/>
      <c r="M632" s="1572" t="s">
        <v>2058</v>
      </c>
      <c r="N632" s="1572"/>
      <c r="O632" s="1572"/>
      <c r="P632" s="1572"/>
      <c r="Q632" s="1572" t="s">
        <v>1828</v>
      </c>
      <c r="R632" s="1572"/>
      <c r="S632" s="1572"/>
      <c r="T632" s="1572" t="s">
        <v>1826</v>
      </c>
      <c r="U632" s="1572"/>
      <c r="V632" s="1572"/>
      <c r="W632" s="1571" t="s">
        <v>453</v>
      </c>
      <c r="X632" s="1571"/>
      <c r="Y632" s="1571"/>
      <c r="Z632" s="1334" t="s">
        <v>2087</v>
      </c>
      <c r="AA632" s="1334"/>
      <c r="AB632" s="1335"/>
      <c r="AC632" s="1764" t="s">
        <v>1665</v>
      </c>
      <c r="AD632" s="1765"/>
      <c r="AE632" s="1766"/>
      <c r="AF632" s="1333" t="s">
        <v>1903</v>
      </c>
      <c r="AG632" s="1334"/>
      <c r="AH632" s="1334"/>
      <c r="AI632" s="1334"/>
      <c r="AJ632" s="1335"/>
      <c r="AK632" s="1562" t="s">
        <v>1904</v>
      </c>
      <c r="AL632" s="1563"/>
      <c r="AM632" s="1563"/>
      <c r="AN632" s="1564"/>
      <c r="AO632" s="1572" t="s">
        <v>454</v>
      </c>
      <c r="AP632" s="1572"/>
      <c r="AQ632" s="1572"/>
      <c r="AR632" s="1572"/>
      <c r="AS632" s="1572"/>
      <c r="AU632" s="3"/>
      <c r="AZ632" s="3"/>
      <c r="BA632" s="3"/>
      <c r="BB632" s="3"/>
      <c r="BC632" s="3"/>
    </row>
    <row r="633" spans="1:56" ht="12.95" customHeight="1">
      <c r="B633" s="1573"/>
      <c r="C633" s="1573"/>
      <c r="D633" s="1573"/>
      <c r="E633" s="1573"/>
      <c r="F633" s="1573"/>
      <c r="G633" s="1573"/>
      <c r="H633" s="1573"/>
      <c r="I633" s="1573"/>
      <c r="J633" s="1573"/>
      <c r="K633" s="1573"/>
      <c r="L633" s="1573"/>
      <c r="M633" s="1572"/>
      <c r="N633" s="1572"/>
      <c r="O633" s="1572"/>
      <c r="P633" s="1572"/>
      <c r="Q633" s="1572"/>
      <c r="R633" s="1572"/>
      <c r="S633" s="1572"/>
      <c r="T633" s="1572"/>
      <c r="U633" s="1572"/>
      <c r="V633" s="1572"/>
      <c r="W633" s="1571"/>
      <c r="X633" s="1571"/>
      <c r="Y633" s="1571"/>
      <c r="Z633" s="1337"/>
      <c r="AA633" s="1337"/>
      <c r="AB633" s="1338"/>
      <c r="AC633" s="1767"/>
      <c r="AD633" s="1768"/>
      <c r="AE633" s="1769"/>
      <c r="AF633" s="1336"/>
      <c r="AG633" s="1337"/>
      <c r="AH633" s="1337"/>
      <c r="AI633" s="1337"/>
      <c r="AJ633" s="1338"/>
      <c r="AK633" s="1565"/>
      <c r="AL633" s="1566"/>
      <c r="AM633" s="1566"/>
      <c r="AN633" s="1567"/>
      <c r="AO633" s="1572"/>
      <c r="AP633" s="1572"/>
      <c r="AQ633" s="1572"/>
      <c r="AR633" s="1572"/>
      <c r="AS633" s="1572"/>
      <c r="AU633" s="3"/>
      <c r="AZ633" s="3"/>
      <c r="BA633" s="3"/>
      <c r="BB633" s="3"/>
      <c r="BC633" s="3"/>
      <c r="BD633" s="3"/>
    </row>
    <row r="634" spans="1:56" ht="12.95" customHeight="1">
      <c r="B634" s="1573"/>
      <c r="C634" s="1573"/>
      <c r="D634" s="1573"/>
      <c r="E634" s="1573"/>
      <c r="F634" s="1573"/>
      <c r="G634" s="1573"/>
      <c r="H634" s="1573"/>
      <c r="I634" s="1573"/>
      <c r="J634" s="1573"/>
      <c r="K634" s="1573"/>
      <c r="L634" s="1573"/>
      <c r="M634" s="1572"/>
      <c r="N634" s="1572"/>
      <c r="O634" s="1572"/>
      <c r="P634" s="1572"/>
      <c r="Q634" s="1572"/>
      <c r="R634" s="1572"/>
      <c r="S634" s="1572"/>
      <c r="T634" s="1572"/>
      <c r="U634" s="1572"/>
      <c r="V634" s="1572"/>
      <c r="W634" s="1571"/>
      <c r="X634" s="1571"/>
      <c r="Y634" s="1571"/>
      <c r="Z634" s="1340"/>
      <c r="AA634" s="1340"/>
      <c r="AB634" s="1341"/>
      <c r="AC634" s="1770"/>
      <c r="AD634" s="1771"/>
      <c r="AE634" s="1772"/>
      <c r="AF634" s="1339"/>
      <c r="AG634" s="1340"/>
      <c r="AH634" s="1340"/>
      <c r="AI634" s="1340"/>
      <c r="AJ634" s="1341"/>
      <c r="AK634" s="1568"/>
      <c r="AL634" s="1569"/>
      <c r="AM634" s="1569"/>
      <c r="AN634" s="1570"/>
      <c r="AO634" s="1572"/>
      <c r="AP634" s="1572"/>
      <c r="AQ634" s="1572"/>
      <c r="AR634" s="1572"/>
      <c r="AS634" s="1572"/>
      <c r="AT634" s="3"/>
      <c r="AU634" s="3"/>
      <c r="AZ634" s="3"/>
      <c r="BA634" s="3"/>
      <c r="BB634" s="3"/>
      <c r="BC634" s="3"/>
      <c r="BD634" s="3"/>
    </row>
    <row r="635" spans="1:56" ht="12.95" customHeight="1">
      <c r="B635" s="51" t="s">
        <v>112</v>
      </c>
      <c r="C635" s="1440" t="s">
        <v>2759</v>
      </c>
      <c r="D635" s="1440"/>
      <c r="E635" s="1440"/>
      <c r="F635" s="1440"/>
      <c r="G635" s="1440"/>
      <c r="H635" s="1440"/>
      <c r="I635" s="1440"/>
      <c r="J635" s="1440"/>
      <c r="K635" s="1440"/>
      <c r="L635" s="1440"/>
      <c r="M635" s="1521" t="s">
        <v>2074</v>
      </c>
      <c r="N635" s="1521"/>
      <c r="O635" s="1521"/>
      <c r="P635" s="1521"/>
      <c r="Q635" s="1483">
        <v>216</v>
      </c>
      <c r="R635" s="1483"/>
      <c r="S635" s="1528"/>
      <c r="T635" s="1527">
        <v>480</v>
      </c>
      <c r="U635" s="1483"/>
      <c r="V635" s="1528"/>
      <c r="W635" s="1559">
        <v>0.06</v>
      </c>
      <c r="X635" s="1560"/>
      <c r="Y635" s="1561"/>
      <c r="Z635" s="1360" t="s">
        <v>457</v>
      </c>
      <c r="AA635" s="1361"/>
      <c r="AB635" s="1362"/>
      <c r="AC635" s="1385">
        <v>1</v>
      </c>
      <c r="AD635" s="1275"/>
      <c r="AE635" s="1386"/>
      <c r="AF635" s="1518">
        <v>1795237</v>
      </c>
      <c r="AG635" s="1519"/>
      <c r="AH635" s="1519"/>
      <c r="AI635" s="1519"/>
      <c r="AJ635" s="1520"/>
      <c r="AK635" s="1398"/>
      <c r="AL635" s="1399"/>
      <c r="AM635" s="1399"/>
      <c r="AN635" s="1400"/>
      <c r="AO635" s="1555">
        <v>27190000</v>
      </c>
      <c r="AP635" s="1555"/>
      <c r="AQ635" s="1555"/>
      <c r="AR635" s="1555"/>
      <c r="AS635" s="1555"/>
      <c r="AT635" s="3"/>
      <c r="AU635" s="3"/>
      <c r="AZ635" s="3"/>
      <c r="BA635" s="3"/>
      <c r="BB635" s="3"/>
      <c r="BC635" s="3"/>
      <c r="BD635" s="3"/>
    </row>
    <row r="636" spans="1:56" ht="12.95" customHeight="1">
      <c r="B636" s="52" t="s">
        <v>113</v>
      </c>
      <c r="C636" s="1440" t="s">
        <v>2760</v>
      </c>
      <c r="D636" s="1440"/>
      <c r="E636" s="1440"/>
      <c r="F636" s="1440"/>
      <c r="G636" s="1440"/>
      <c r="H636" s="1440"/>
      <c r="I636" s="1440"/>
      <c r="J636" s="1440"/>
      <c r="K636" s="1440"/>
      <c r="L636" s="1440"/>
      <c r="M636" s="1521" t="s">
        <v>2070</v>
      </c>
      <c r="N636" s="1521"/>
      <c r="O636" s="1521"/>
      <c r="P636" s="1521"/>
      <c r="Q636" s="1527">
        <v>480</v>
      </c>
      <c r="R636" s="1483"/>
      <c r="S636" s="1528"/>
      <c r="T636" s="1527"/>
      <c r="U636" s="1483"/>
      <c r="V636" s="1528"/>
      <c r="W636" s="1559">
        <v>0.03</v>
      </c>
      <c r="X636" s="1560"/>
      <c r="Y636" s="1561"/>
      <c r="Z636" s="1360" t="s">
        <v>457</v>
      </c>
      <c r="AA636" s="1361"/>
      <c r="AB636" s="1362"/>
      <c r="AC636" s="1385">
        <v>2</v>
      </c>
      <c r="AD636" s="1275"/>
      <c r="AE636" s="1386"/>
      <c r="AF636" s="1518"/>
      <c r="AG636" s="1519"/>
      <c r="AH636" s="1519"/>
      <c r="AI636" s="1519"/>
      <c r="AJ636" s="1520"/>
      <c r="AK636" s="1398"/>
      <c r="AL636" s="1399"/>
      <c r="AM636" s="1399"/>
      <c r="AN636" s="1400"/>
      <c r="AO636" s="1422">
        <v>9088225</v>
      </c>
      <c r="AP636" s="1288"/>
      <c r="AQ636" s="1288"/>
      <c r="AR636" s="1288"/>
      <c r="AS636" s="1289"/>
      <c r="AT636" s="1142" t="str">
        <f>IF(AND(NOT(C635=""),C636="",NOT(C637="")),"!","")</f>
        <v/>
      </c>
      <c r="AU636" s="3"/>
      <c r="AZ636" s="3"/>
      <c r="BA636" s="3"/>
      <c r="BB636" s="3"/>
      <c r="BC636" s="3"/>
      <c r="BD636" s="3"/>
    </row>
    <row r="637" spans="1:56" ht="12.95" customHeight="1">
      <c r="B637" s="52" t="s">
        <v>119</v>
      </c>
      <c r="C637" s="1440" t="s">
        <v>2728</v>
      </c>
      <c r="D637" s="1440"/>
      <c r="E637" s="1440"/>
      <c r="F637" s="1440"/>
      <c r="G637" s="1440"/>
      <c r="H637" s="1440"/>
      <c r="I637" s="1440"/>
      <c r="J637" s="1440"/>
      <c r="K637" s="1440"/>
      <c r="L637" s="1440"/>
      <c r="M637" s="1521" t="s">
        <v>2071</v>
      </c>
      <c r="N637" s="1521"/>
      <c r="O637" s="1521"/>
      <c r="P637" s="1521"/>
      <c r="Q637" s="1527">
        <v>660</v>
      </c>
      <c r="R637" s="1483"/>
      <c r="S637" s="1528"/>
      <c r="T637" s="1527"/>
      <c r="U637" s="1483"/>
      <c r="V637" s="1528"/>
      <c r="W637" s="1559">
        <v>3.6499999999999998E-2</v>
      </c>
      <c r="X637" s="1560"/>
      <c r="Y637" s="1561"/>
      <c r="Z637" s="1360" t="s">
        <v>457</v>
      </c>
      <c r="AA637" s="1361"/>
      <c r="AB637" s="1362"/>
      <c r="AC637" s="1385">
        <v>3</v>
      </c>
      <c r="AD637" s="1275"/>
      <c r="AE637" s="1386"/>
      <c r="AF637" s="1518"/>
      <c r="AG637" s="1519"/>
      <c r="AH637" s="1519"/>
      <c r="AI637" s="1519"/>
      <c r="AJ637" s="1520"/>
      <c r="AK637" s="1398"/>
      <c r="AL637" s="1399"/>
      <c r="AM637" s="1399"/>
      <c r="AN637" s="1400"/>
      <c r="AO637" s="1422">
        <v>10000000</v>
      </c>
      <c r="AP637" s="1288"/>
      <c r="AQ637" s="1288"/>
      <c r="AR637" s="1288"/>
      <c r="AS637" s="1289"/>
      <c r="AT637" s="1142" t="str">
        <f t="shared" ref="AT637:AT646" si="3">IF(AND(NOT(C636=""),C637="",NOT(C638="")),"!","")</f>
        <v/>
      </c>
      <c r="AU637" s="3"/>
      <c r="AZ637" s="3"/>
      <c r="BA637" s="3"/>
      <c r="BB637" s="3"/>
      <c r="BC637" s="3"/>
      <c r="BD637" s="3"/>
    </row>
    <row r="638" spans="1:56" ht="12.95" customHeight="1">
      <c r="B638" s="52" t="s">
        <v>581</v>
      </c>
      <c r="C638" s="1440" t="s">
        <v>2768</v>
      </c>
      <c r="D638" s="1523"/>
      <c r="E638" s="1523"/>
      <c r="F638" s="1523"/>
      <c r="G638" s="1523"/>
      <c r="H638" s="1523"/>
      <c r="I638" s="1523"/>
      <c r="J638" s="1523"/>
      <c r="K638" s="1523"/>
      <c r="L638" s="1523"/>
      <c r="M638" s="1521" t="s">
        <v>2076</v>
      </c>
      <c r="N638" s="1521"/>
      <c r="O638" s="1521"/>
      <c r="P638" s="1521"/>
      <c r="Q638" s="1527"/>
      <c r="R638" s="1483"/>
      <c r="S638" s="1528"/>
      <c r="T638" s="1527"/>
      <c r="U638" s="1483"/>
      <c r="V638" s="1528"/>
      <c r="W638" s="1559"/>
      <c r="X638" s="1560"/>
      <c r="Y638" s="1561"/>
      <c r="Z638" s="1360" t="s">
        <v>1184</v>
      </c>
      <c r="AA638" s="1361"/>
      <c r="AB638" s="1362"/>
      <c r="AC638" s="1385"/>
      <c r="AD638" s="1275"/>
      <c r="AE638" s="1386"/>
      <c r="AF638" s="1518"/>
      <c r="AG638" s="1519"/>
      <c r="AH638" s="1519"/>
      <c r="AI638" s="1519"/>
      <c r="AJ638" s="1520"/>
      <c r="AK638" s="1398"/>
      <c r="AL638" s="1399"/>
      <c r="AM638" s="1399"/>
      <c r="AN638" s="1400"/>
      <c r="AO638" s="1422">
        <v>1008935</v>
      </c>
      <c r="AP638" s="1288"/>
      <c r="AQ638" s="1288"/>
      <c r="AR638" s="1288"/>
      <c r="AS638" s="1289"/>
      <c r="AT638" s="1142" t="str">
        <f t="shared" si="3"/>
        <v/>
      </c>
      <c r="AU638" s="3"/>
      <c r="AZ638" s="3"/>
      <c r="BA638" s="3"/>
      <c r="BB638" s="3"/>
      <c r="BC638" s="3"/>
      <c r="BD638" s="3"/>
    </row>
    <row r="639" spans="1:56" ht="12.95" customHeight="1">
      <c r="B639" s="52" t="s">
        <v>763</v>
      </c>
      <c r="C639" s="1440" t="s">
        <v>2768</v>
      </c>
      <c r="D639" s="1523"/>
      <c r="E639" s="1523"/>
      <c r="F639" s="1523"/>
      <c r="G639" s="1523"/>
      <c r="H639" s="1523"/>
      <c r="I639" s="1523"/>
      <c r="J639" s="1523"/>
      <c r="K639" s="1523"/>
      <c r="L639" s="1523"/>
      <c r="M639" s="1521" t="s">
        <v>2078</v>
      </c>
      <c r="N639" s="1521"/>
      <c r="O639" s="1521"/>
      <c r="P639" s="1521"/>
      <c r="Q639" s="1527"/>
      <c r="R639" s="1483"/>
      <c r="S639" s="1528"/>
      <c r="T639" s="1527"/>
      <c r="U639" s="1483"/>
      <c r="V639" s="1528"/>
      <c r="W639" s="1559"/>
      <c r="X639" s="1560"/>
      <c r="Y639" s="1561"/>
      <c r="Z639" s="1360" t="s">
        <v>1184</v>
      </c>
      <c r="AA639" s="1361"/>
      <c r="AB639" s="1362"/>
      <c r="AC639" s="1385"/>
      <c r="AD639" s="1275"/>
      <c r="AE639" s="1386"/>
      <c r="AF639" s="1518"/>
      <c r="AG639" s="1519"/>
      <c r="AH639" s="1519"/>
      <c r="AI639" s="1519"/>
      <c r="AJ639" s="1520"/>
      <c r="AK639" s="1398"/>
      <c r="AL639" s="1399"/>
      <c r="AM639" s="1399"/>
      <c r="AN639" s="1400"/>
      <c r="AO639" s="1422">
        <v>600265</v>
      </c>
      <c r="AP639" s="1288"/>
      <c r="AQ639" s="1288"/>
      <c r="AR639" s="1288"/>
      <c r="AS639" s="1289"/>
      <c r="AT639" s="1142" t="str">
        <f t="shared" si="3"/>
        <v/>
      </c>
      <c r="AU639" s="3"/>
      <c r="AZ639" s="3"/>
      <c r="BA639" s="3"/>
      <c r="BB639" s="3"/>
      <c r="BC639" s="3"/>
      <c r="BD639" s="3"/>
    </row>
    <row r="640" spans="1:56" ht="12.95" customHeight="1">
      <c r="B640" s="52" t="s">
        <v>584</v>
      </c>
      <c r="C640" s="1440" t="s">
        <v>2679</v>
      </c>
      <c r="D640" s="1523"/>
      <c r="E640" s="1523"/>
      <c r="F640" s="1523"/>
      <c r="G640" s="1523"/>
      <c r="H640" s="1523"/>
      <c r="I640" s="1523"/>
      <c r="J640" s="1523"/>
      <c r="K640" s="1523"/>
      <c r="L640" s="1523"/>
      <c r="M640" s="1521" t="s">
        <v>2061</v>
      </c>
      <c r="N640" s="1521"/>
      <c r="O640" s="1521"/>
      <c r="P640" s="1521"/>
      <c r="Q640" s="1527"/>
      <c r="R640" s="1483"/>
      <c r="S640" s="1528"/>
      <c r="T640" s="1527"/>
      <c r="U640" s="1483"/>
      <c r="V640" s="1528"/>
      <c r="W640" s="1559"/>
      <c r="X640" s="1560"/>
      <c r="Y640" s="1561"/>
      <c r="Z640" s="1360" t="s">
        <v>1184</v>
      </c>
      <c r="AA640" s="1361"/>
      <c r="AB640" s="1362"/>
      <c r="AC640" s="1385"/>
      <c r="AD640" s="1275"/>
      <c r="AE640" s="1386"/>
      <c r="AF640" s="1518"/>
      <c r="AG640" s="1519"/>
      <c r="AH640" s="1519"/>
      <c r="AI640" s="1519"/>
      <c r="AJ640" s="1520"/>
      <c r="AK640" s="1398"/>
      <c r="AL640" s="1399"/>
      <c r="AM640" s="1399"/>
      <c r="AN640" s="1400"/>
      <c r="AO640" s="1422">
        <v>2910443</v>
      </c>
      <c r="AP640" s="1288"/>
      <c r="AQ640" s="1288"/>
      <c r="AR640" s="1288"/>
      <c r="AS640" s="1289"/>
      <c r="AT640" s="1142" t="str">
        <f t="shared" si="3"/>
        <v/>
      </c>
      <c r="AU640" s="3"/>
      <c r="AZ640" s="3"/>
      <c r="BA640" s="3"/>
      <c r="BB640" s="3"/>
      <c r="BC640" s="3"/>
      <c r="BD640" s="3"/>
    </row>
    <row r="641" spans="1:157" ht="12.95" customHeight="1">
      <c r="B641" s="52" t="s">
        <v>455</v>
      </c>
      <c r="C641" s="1523"/>
      <c r="D641" s="1523"/>
      <c r="E641" s="1523"/>
      <c r="F641" s="1523"/>
      <c r="G641" s="1523"/>
      <c r="H641" s="1523"/>
      <c r="I641" s="1523"/>
      <c r="J641" s="1523"/>
      <c r="K641" s="1523"/>
      <c r="L641" s="1523"/>
      <c r="M641" s="1521" t="s">
        <v>1184</v>
      </c>
      <c r="N641" s="1521"/>
      <c r="O641" s="1521"/>
      <c r="P641" s="1521"/>
      <c r="Q641" s="1527"/>
      <c r="R641" s="1483"/>
      <c r="S641" s="1528"/>
      <c r="T641" s="1527"/>
      <c r="U641" s="1483"/>
      <c r="V641" s="1528"/>
      <c r="W641" s="1559"/>
      <c r="X641" s="1560"/>
      <c r="Y641" s="1561"/>
      <c r="Z641" s="1360" t="s">
        <v>1184</v>
      </c>
      <c r="AA641" s="1361"/>
      <c r="AB641" s="1362"/>
      <c r="AC641" s="1385"/>
      <c r="AD641" s="1275"/>
      <c r="AE641" s="1386"/>
      <c r="AF641" s="1518"/>
      <c r="AG641" s="1519"/>
      <c r="AH641" s="1519"/>
      <c r="AI641" s="1519"/>
      <c r="AJ641" s="1520"/>
      <c r="AK641" s="1398"/>
      <c r="AL641" s="1399"/>
      <c r="AM641" s="1399"/>
      <c r="AN641" s="1400"/>
      <c r="AO641" s="1422"/>
      <c r="AP641" s="1288"/>
      <c r="AQ641" s="1288"/>
      <c r="AR641" s="1288"/>
      <c r="AS641" s="1289"/>
      <c r="AT641" s="1142" t="str">
        <f t="shared" si="3"/>
        <v/>
      </c>
      <c r="AU641" s="3"/>
      <c r="AV641" s="3"/>
      <c r="AW641" s="3"/>
      <c r="AX641" s="3"/>
      <c r="AY641" s="3"/>
      <c r="AZ641" s="3"/>
      <c r="BA641" s="3"/>
      <c r="BB641" s="3"/>
      <c r="BC641" s="3"/>
      <c r="BD641" s="3"/>
    </row>
    <row r="642" spans="1:157" ht="12.95" customHeight="1">
      <c r="B642" s="52" t="s">
        <v>456</v>
      </c>
      <c r="C642" s="1523"/>
      <c r="D642" s="1523"/>
      <c r="E642" s="1523"/>
      <c r="F642" s="1523"/>
      <c r="G642" s="1523"/>
      <c r="H642" s="1523"/>
      <c r="I642" s="1523"/>
      <c r="J642" s="1523"/>
      <c r="K642" s="1523"/>
      <c r="L642" s="1523"/>
      <c r="M642" s="1521" t="s">
        <v>1184</v>
      </c>
      <c r="N642" s="1521"/>
      <c r="O642" s="1521"/>
      <c r="P642" s="1521"/>
      <c r="Q642" s="1527"/>
      <c r="R642" s="1483"/>
      <c r="S642" s="1528"/>
      <c r="T642" s="1527"/>
      <c r="U642" s="1483"/>
      <c r="V642" s="1528"/>
      <c r="W642" s="1559"/>
      <c r="X642" s="1560"/>
      <c r="Y642" s="1561"/>
      <c r="Z642" s="1360" t="s">
        <v>1184</v>
      </c>
      <c r="AA642" s="1361"/>
      <c r="AB642" s="1362"/>
      <c r="AC642" s="1385"/>
      <c r="AD642" s="1275"/>
      <c r="AE642" s="1386"/>
      <c r="AF642" s="1518"/>
      <c r="AG642" s="1519"/>
      <c r="AH642" s="1519"/>
      <c r="AI642" s="1519"/>
      <c r="AJ642" s="1520"/>
      <c r="AK642" s="1398"/>
      <c r="AL642" s="1399"/>
      <c r="AM642" s="1399"/>
      <c r="AN642" s="1400"/>
      <c r="AO642" s="1422"/>
      <c r="AP642" s="1288"/>
      <c r="AQ642" s="1288"/>
      <c r="AR642" s="1288"/>
      <c r="AS642" s="1289"/>
      <c r="AT642" s="1142" t="str">
        <f t="shared" si="3"/>
        <v/>
      </c>
      <c r="AU642" s="3"/>
      <c r="AV642" s="3"/>
      <c r="AW642" s="3"/>
      <c r="AX642" s="3"/>
      <c r="AY642" s="3"/>
      <c r="AZ642" s="3"/>
      <c r="BA642" s="3" t="s">
        <v>1184</v>
      </c>
      <c r="BB642" s="3"/>
      <c r="BC642" s="3"/>
      <c r="BD642" s="3"/>
    </row>
    <row r="643" spans="1:157" ht="12.95" customHeight="1">
      <c r="B643" s="52" t="s">
        <v>461</v>
      </c>
      <c r="C643" s="1523"/>
      <c r="D643" s="1523"/>
      <c r="E643" s="1523"/>
      <c r="F643" s="1523"/>
      <c r="G643" s="1523"/>
      <c r="H643" s="1523"/>
      <c r="I643" s="1523"/>
      <c r="J643" s="1523"/>
      <c r="K643" s="1523"/>
      <c r="L643" s="1523"/>
      <c r="M643" s="1521" t="s">
        <v>1184</v>
      </c>
      <c r="N643" s="1521"/>
      <c r="O643" s="1521"/>
      <c r="P643" s="1521"/>
      <c r="Q643" s="1527"/>
      <c r="R643" s="1483"/>
      <c r="S643" s="1528"/>
      <c r="T643" s="1527"/>
      <c r="U643" s="1483"/>
      <c r="V643" s="1528"/>
      <c r="W643" s="1559"/>
      <c r="X643" s="1560"/>
      <c r="Y643" s="1561"/>
      <c r="Z643" s="1360" t="s">
        <v>1184</v>
      </c>
      <c r="AA643" s="1361"/>
      <c r="AB643" s="1362"/>
      <c r="AC643" s="1385"/>
      <c r="AD643" s="1275"/>
      <c r="AE643" s="1386"/>
      <c r="AF643" s="1518"/>
      <c r="AG643" s="1519"/>
      <c r="AH643" s="1519"/>
      <c r="AI643" s="1519"/>
      <c r="AJ643" s="1520"/>
      <c r="AK643" s="1398"/>
      <c r="AL643" s="1399"/>
      <c r="AM643" s="1399"/>
      <c r="AN643" s="1400"/>
      <c r="AO643" s="1422"/>
      <c r="AP643" s="1288"/>
      <c r="AQ643" s="1288"/>
      <c r="AR643" s="1288"/>
      <c r="AS643" s="1289"/>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24" t="e">
        <f t="shared" ref="DX643:DX677" si="4">EZ726*(CP726/$CP$761)</f>
        <v>#VALUE!</v>
      </c>
      <c r="DY643" s="1324"/>
      <c r="DZ643" s="1324"/>
      <c r="EA643" s="1324"/>
      <c r="EB643" s="1324"/>
      <c r="EC643" s="1324">
        <f t="shared" ref="EC643:EC677" si="5">FE726*(CU726/$CU$761)</f>
        <v>67.5</v>
      </c>
      <c r="ED643" s="1324"/>
      <c r="EE643" s="1324"/>
      <c r="EF643" s="1324"/>
      <c r="EG643" s="1324"/>
      <c r="EH643" s="1324" t="e">
        <f t="shared" ref="EH643:EH677" si="6">FJ726*(CZ726/$CZ$761)</f>
        <v>#VALUE!</v>
      </c>
      <c r="EI643" s="1324"/>
      <c r="EJ643" s="1324"/>
      <c r="EK643" s="1324"/>
      <c r="EL643" s="1324"/>
      <c r="EM643" s="1324" t="e">
        <f t="shared" ref="EM643:EM677" si="7">FO726*(DE726/$DE$761)</f>
        <v>#VALUE!</v>
      </c>
      <c r="EN643" s="1324"/>
      <c r="EO643" s="1324"/>
      <c r="EP643" s="1324"/>
      <c r="EQ643" s="1324"/>
      <c r="ER643" s="1324" t="e">
        <f t="shared" ref="ER643:ER677" si="8">FT726*(DJ726/$DJ$761)</f>
        <v>#VALUE!</v>
      </c>
      <c r="ES643" s="1324"/>
      <c r="ET643" s="1324"/>
      <c r="EU643" s="1324"/>
      <c r="EV643" s="1324"/>
      <c r="EW643" s="1324" t="e">
        <f t="shared" ref="EW643:EW677" si="9">FY726*(DO726/$DO$761)</f>
        <v>#VALUE!</v>
      </c>
      <c r="EX643" s="1324"/>
      <c r="EY643" s="1324"/>
      <c r="EZ643" s="1324"/>
      <c r="FA643" s="1324"/>
    </row>
    <row r="644" spans="1:157" ht="12.95" customHeight="1">
      <c r="B644" s="52" t="s">
        <v>646</v>
      </c>
      <c r="C644" s="1523"/>
      <c r="D644" s="1523"/>
      <c r="E644" s="1523"/>
      <c r="F644" s="1523"/>
      <c r="G644" s="1523"/>
      <c r="H644" s="1523"/>
      <c r="I644" s="1523"/>
      <c r="J644" s="1523"/>
      <c r="K644" s="1523"/>
      <c r="L644" s="1523"/>
      <c r="M644" s="1521" t="s">
        <v>1184</v>
      </c>
      <c r="N644" s="1521"/>
      <c r="O644" s="1521"/>
      <c r="P644" s="1521"/>
      <c r="Q644" s="1527"/>
      <c r="R644" s="1483"/>
      <c r="S644" s="1528"/>
      <c r="T644" s="1527"/>
      <c r="U644" s="1483"/>
      <c r="V644" s="1528"/>
      <c r="W644" s="1559"/>
      <c r="X644" s="1560"/>
      <c r="Y644" s="1561"/>
      <c r="Z644" s="1360" t="s">
        <v>1184</v>
      </c>
      <c r="AA644" s="1361"/>
      <c r="AB644" s="1362"/>
      <c r="AC644" s="1385"/>
      <c r="AD644" s="1275"/>
      <c r="AE644" s="1386"/>
      <c r="AF644" s="1518"/>
      <c r="AG644" s="1519"/>
      <c r="AH644" s="1519"/>
      <c r="AI644" s="1519"/>
      <c r="AJ644" s="1520"/>
      <c r="AK644" s="1398"/>
      <c r="AL644" s="1399"/>
      <c r="AM644" s="1399"/>
      <c r="AN644" s="1400"/>
      <c r="AO644" s="1422"/>
      <c r="AP644" s="1288"/>
      <c r="AQ644" s="1288"/>
      <c r="AR644" s="1288"/>
      <c r="AS644" s="1289"/>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24" t="e">
        <f t="shared" si="4"/>
        <v>#VALUE!</v>
      </c>
      <c r="DY644" s="1324"/>
      <c r="DZ644" s="1324"/>
      <c r="EA644" s="1324"/>
      <c r="EB644" s="1324"/>
      <c r="EC644" s="1324">
        <f t="shared" si="5"/>
        <v>39.270833333333336</v>
      </c>
      <c r="ED644" s="1324"/>
      <c r="EE644" s="1324"/>
      <c r="EF644" s="1324"/>
      <c r="EG644" s="1324"/>
      <c r="EH644" s="1324" t="e">
        <f t="shared" si="6"/>
        <v>#VALUE!</v>
      </c>
      <c r="EI644" s="1324"/>
      <c r="EJ644" s="1324"/>
      <c r="EK644" s="1324"/>
      <c r="EL644" s="1324"/>
      <c r="EM644" s="1324" t="e">
        <f t="shared" si="7"/>
        <v>#VALUE!</v>
      </c>
      <c r="EN644" s="1324"/>
      <c r="EO644" s="1324"/>
      <c r="EP644" s="1324"/>
      <c r="EQ644" s="1324"/>
      <c r="ER644" s="1324" t="e">
        <f t="shared" si="8"/>
        <v>#VALUE!</v>
      </c>
      <c r="ES644" s="1324"/>
      <c r="ET644" s="1324"/>
      <c r="EU644" s="1324"/>
      <c r="EV644" s="1324"/>
      <c r="EW644" s="1324" t="e">
        <f t="shared" si="9"/>
        <v>#VALUE!</v>
      </c>
      <c r="EX644" s="1324"/>
      <c r="EY644" s="1324"/>
      <c r="EZ644" s="1324"/>
      <c r="FA644" s="1324"/>
    </row>
    <row r="645" spans="1:157" ht="12.95" customHeight="1">
      <c r="B645" s="52" t="s">
        <v>362</v>
      </c>
      <c r="C645" s="1523"/>
      <c r="D645" s="1523"/>
      <c r="E645" s="1523"/>
      <c r="F645" s="1523"/>
      <c r="G645" s="1523"/>
      <c r="H645" s="1523"/>
      <c r="I645" s="1523"/>
      <c r="J645" s="1523"/>
      <c r="K645" s="1523"/>
      <c r="L645" s="1523"/>
      <c r="M645" s="1521" t="s">
        <v>1184</v>
      </c>
      <c r="N645" s="1521"/>
      <c r="O645" s="1521"/>
      <c r="P645" s="1521"/>
      <c r="Q645" s="1527"/>
      <c r="R645" s="1483"/>
      <c r="S645" s="1528"/>
      <c r="T645" s="1527"/>
      <c r="U645" s="1483"/>
      <c r="V645" s="1528"/>
      <c r="W645" s="1559"/>
      <c r="X645" s="1560"/>
      <c r="Y645" s="1561"/>
      <c r="Z645" s="1360" t="s">
        <v>1184</v>
      </c>
      <c r="AA645" s="1361"/>
      <c r="AB645" s="1362"/>
      <c r="AC645" s="1385"/>
      <c r="AD645" s="1275"/>
      <c r="AE645" s="1386"/>
      <c r="AF645" s="1518"/>
      <c r="AG645" s="1519"/>
      <c r="AH645" s="1519"/>
      <c r="AI645" s="1519"/>
      <c r="AJ645" s="1520"/>
      <c r="AK645" s="1398"/>
      <c r="AL645" s="1399"/>
      <c r="AM645" s="1399"/>
      <c r="AN645" s="1400"/>
      <c r="AO645" s="1422"/>
      <c r="AP645" s="1288"/>
      <c r="AQ645" s="1288"/>
      <c r="AR645" s="1288"/>
      <c r="AS645" s="1289"/>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24" t="e">
        <f t="shared" si="4"/>
        <v>#VALUE!</v>
      </c>
      <c r="DY645" s="1324"/>
      <c r="DZ645" s="1324"/>
      <c r="EA645" s="1324"/>
      <c r="EB645" s="1324"/>
      <c r="EC645" s="1324">
        <f t="shared" si="5"/>
        <v>1181.4444444444446</v>
      </c>
      <c r="ED645" s="1324"/>
      <c r="EE645" s="1324"/>
      <c r="EF645" s="1324"/>
      <c r="EG645" s="1324"/>
      <c r="EH645" s="1324" t="e">
        <f t="shared" si="6"/>
        <v>#VALUE!</v>
      </c>
      <c r="EI645" s="1324"/>
      <c r="EJ645" s="1324"/>
      <c r="EK645" s="1324"/>
      <c r="EL645" s="1324"/>
      <c r="EM645" s="1324" t="e">
        <f t="shared" si="7"/>
        <v>#VALUE!</v>
      </c>
      <c r="EN645" s="1324"/>
      <c r="EO645" s="1324"/>
      <c r="EP645" s="1324"/>
      <c r="EQ645" s="1324"/>
      <c r="ER645" s="1324" t="e">
        <f t="shared" si="8"/>
        <v>#VALUE!</v>
      </c>
      <c r="ES645" s="1324"/>
      <c r="ET645" s="1324"/>
      <c r="EU645" s="1324"/>
      <c r="EV645" s="1324"/>
      <c r="EW645" s="1324" t="e">
        <f t="shared" si="9"/>
        <v>#VALUE!</v>
      </c>
      <c r="EX645" s="1324"/>
      <c r="EY645" s="1324"/>
      <c r="EZ645" s="1324"/>
      <c r="FA645" s="1324"/>
    </row>
    <row r="646" spans="1:157" ht="12.95" customHeight="1">
      <c r="B646" s="52" t="s">
        <v>363</v>
      </c>
      <c r="C646" s="1523"/>
      <c r="D646" s="1523"/>
      <c r="E646" s="1523"/>
      <c r="F646" s="1523"/>
      <c r="G646" s="1523"/>
      <c r="H646" s="1523"/>
      <c r="I646" s="1523"/>
      <c r="J646" s="1523"/>
      <c r="K646" s="1523"/>
      <c r="L646" s="1523"/>
      <c r="M646" s="1521" t="s">
        <v>1184</v>
      </c>
      <c r="N646" s="1521"/>
      <c r="O646" s="1521"/>
      <c r="P646" s="1521"/>
      <c r="Q646" s="1527"/>
      <c r="R646" s="1483"/>
      <c r="S646" s="1528"/>
      <c r="T646" s="1527"/>
      <c r="U646" s="1483"/>
      <c r="V646" s="1528"/>
      <c r="W646" s="1559"/>
      <c r="X646" s="1560"/>
      <c r="Y646" s="1561"/>
      <c r="Z646" s="1360" t="s">
        <v>1184</v>
      </c>
      <c r="AA646" s="1361"/>
      <c r="AB646" s="1362"/>
      <c r="AC646" s="1385"/>
      <c r="AD646" s="1275"/>
      <c r="AE646" s="1386"/>
      <c r="AF646" s="1518"/>
      <c r="AG646" s="1519"/>
      <c r="AH646" s="1519"/>
      <c r="AI646" s="1519"/>
      <c r="AJ646" s="1520"/>
      <c r="AK646" s="1398"/>
      <c r="AL646" s="1399"/>
      <c r="AM646" s="1399"/>
      <c r="AN646" s="1400"/>
      <c r="AO646" s="1422"/>
      <c r="AP646" s="1288"/>
      <c r="AQ646" s="1288"/>
      <c r="AR646" s="1288"/>
      <c r="AS646" s="1289"/>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24" t="e">
        <f t="shared" si="4"/>
        <v>#VALUE!</v>
      </c>
      <c r="DY646" s="1324"/>
      <c r="DZ646" s="1324"/>
      <c r="EA646" s="1324"/>
      <c r="EB646" s="1324"/>
      <c r="EC646" s="1324" t="e">
        <f t="shared" si="5"/>
        <v>#VALUE!</v>
      </c>
      <c r="ED646" s="1324"/>
      <c r="EE646" s="1324"/>
      <c r="EF646" s="1324"/>
      <c r="EG646" s="1324"/>
      <c r="EH646" s="1324">
        <f t="shared" si="6"/>
        <v>81.263157894736835</v>
      </c>
      <c r="EI646" s="1324"/>
      <c r="EJ646" s="1324"/>
      <c r="EK646" s="1324"/>
      <c r="EL646" s="1324"/>
      <c r="EM646" s="1324" t="e">
        <f t="shared" si="7"/>
        <v>#VALUE!</v>
      </c>
      <c r="EN646" s="1324"/>
      <c r="EO646" s="1324"/>
      <c r="EP646" s="1324"/>
      <c r="EQ646" s="1324"/>
      <c r="ER646" s="1324" t="e">
        <f t="shared" si="8"/>
        <v>#VALUE!</v>
      </c>
      <c r="ES646" s="1324"/>
      <c r="ET646" s="1324"/>
      <c r="EU646" s="1324"/>
      <c r="EV646" s="1324"/>
      <c r="EW646" s="1324" t="e">
        <f t="shared" si="9"/>
        <v>#VALUE!</v>
      </c>
      <c r="EX646" s="1324"/>
      <c r="EY646" s="1324"/>
      <c r="EZ646" s="1324"/>
      <c r="FA646" s="1324"/>
    </row>
    <row r="647" spans="1:157" ht="12.95" customHeight="1">
      <c r="B647" s="1326" t="s">
        <v>128</v>
      </c>
      <c r="C647" s="1327"/>
      <c r="D647" s="1327"/>
      <c r="E647" s="1327"/>
      <c r="F647" s="1327"/>
      <c r="G647" s="1327"/>
      <c r="H647" s="1327"/>
      <c r="I647" s="1327"/>
      <c r="J647" s="1327"/>
      <c r="K647" s="1327"/>
      <c r="L647" s="1327"/>
      <c r="M647" s="1327"/>
      <c r="N647" s="1327"/>
      <c r="O647" s="1327"/>
      <c r="P647" s="1327"/>
      <c r="Q647" s="1327"/>
      <c r="R647" s="1327"/>
      <c r="S647" s="1327"/>
      <c r="T647" s="1327"/>
      <c r="U647" s="1327"/>
      <c r="V647" s="1327"/>
      <c r="W647" s="1327"/>
      <c r="X647" s="1327"/>
      <c r="Y647" s="1327"/>
      <c r="Z647" s="1327"/>
      <c r="AA647" s="1327"/>
      <c r="AB647" s="1327"/>
      <c r="AC647" s="1327"/>
      <c r="AD647" s="1327"/>
      <c r="AE647" s="1327"/>
      <c r="AF647" s="1327"/>
      <c r="AG647" s="1327"/>
      <c r="AH647" s="1327"/>
      <c r="AI647" s="1327"/>
      <c r="AJ647" s="1327"/>
      <c r="AK647" s="1327"/>
      <c r="AL647" s="1327"/>
      <c r="AM647" s="1327"/>
      <c r="AN647" s="1329"/>
      <c r="AO647" s="1419">
        <f>SUM(AO635:AR646)</f>
        <v>50797868</v>
      </c>
      <c r="AP647" s="1420"/>
      <c r="AQ647" s="1420"/>
      <c r="AR647" s="1420"/>
      <c r="AS647" s="1421"/>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24" t="e">
        <f t="shared" si="4"/>
        <v>#VALUE!</v>
      </c>
      <c r="DY647" s="1324"/>
      <c r="DZ647" s="1324"/>
      <c r="EA647" s="1324"/>
      <c r="EB647" s="1324"/>
      <c r="EC647" s="1324" t="e">
        <f t="shared" si="5"/>
        <v>#VALUE!</v>
      </c>
      <c r="ED647" s="1324"/>
      <c r="EE647" s="1324"/>
      <c r="EF647" s="1324"/>
      <c r="EG647" s="1324"/>
      <c r="EH647" s="1324">
        <f t="shared" si="6"/>
        <v>302.19736842105266</v>
      </c>
      <c r="EI647" s="1324"/>
      <c r="EJ647" s="1324"/>
      <c r="EK647" s="1324"/>
      <c r="EL647" s="1324"/>
      <c r="EM647" s="1324" t="e">
        <f t="shared" si="7"/>
        <v>#VALUE!</v>
      </c>
      <c r="EN647" s="1324"/>
      <c r="EO647" s="1324"/>
      <c r="EP647" s="1324"/>
      <c r="EQ647" s="1324"/>
      <c r="ER647" s="1324" t="e">
        <f t="shared" si="8"/>
        <v>#VALUE!</v>
      </c>
      <c r="ES647" s="1324"/>
      <c r="ET647" s="1324"/>
      <c r="EU647" s="1324"/>
      <c r="EV647" s="1324"/>
      <c r="EW647" s="1324" t="e">
        <f t="shared" si="9"/>
        <v>#VALUE!</v>
      </c>
      <c r="EX647" s="1324"/>
      <c r="EY647" s="1324"/>
      <c r="EZ647" s="1324"/>
      <c r="FA647" s="1324"/>
    </row>
    <row r="648" spans="1:157" ht="12.95" customHeight="1">
      <c r="B648" s="1326" t="s">
        <v>267</v>
      </c>
      <c r="C648" s="1327"/>
      <c r="D648" s="1327"/>
      <c r="E648" s="1327"/>
      <c r="F648" s="1327"/>
      <c r="G648" s="1327"/>
      <c r="H648" s="1327"/>
      <c r="I648" s="1327"/>
      <c r="J648" s="1327"/>
      <c r="K648" s="1327"/>
      <c r="L648" s="1327"/>
      <c r="M648" s="1327"/>
      <c r="N648" s="1327"/>
      <c r="O648" s="1327"/>
      <c r="P648" s="1327"/>
      <c r="Q648" s="1327"/>
      <c r="R648" s="1327"/>
      <c r="S648" s="1327"/>
      <c r="T648" s="1327"/>
      <c r="U648" s="1327"/>
      <c r="V648" s="1327"/>
      <c r="W648" s="1327"/>
      <c r="X648" s="1327"/>
      <c r="Y648" s="1327"/>
      <c r="Z648" s="1327"/>
      <c r="AA648" s="1327"/>
      <c r="AB648" s="1327"/>
      <c r="AC648" s="1327"/>
      <c r="AD648" s="1327"/>
      <c r="AE648" s="1327"/>
      <c r="AF648" s="1327"/>
      <c r="AG648" s="1327"/>
      <c r="AH648" s="1327"/>
      <c r="AI648" s="1327"/>
      <c r="AJ648" s="1327"/>
      <c r="AK648" s="1327"/>
      <c r="AL648" s="1327"/>
      <c r="AM648" s="1327"/>
      <c r="AN648" s="1329"/>
      <c r="AO648" s="1422">
        <v>21719292</v>
      </c>
      <c r="AP648" s="1288"/>
      <c r="AQ648" s="1288"/>
      <c r="AR648" s="1288"/>
      <c r="AS648" s="1289"/>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24" t="e">
        <f t="shared" si="4"/>
        <v>#VALUE!</v>
      </c>
      <c r="DY648" s="1324"/>
      <c r="DZ648" s="1324"/>
      <c r="EA648" s="1324"/>
      <c r="EB648" s="1324"/>
      <c r="EC648" s="1324" t="e">
        <f t="shared" si="5"/>
        <v>#VALUE!</v>
      </c>
      <c r="ED648" s="1324"/>
      <c r="EE648" s="1324"/>
      <c r="EF648" s="1324"/>
      <c r="EG648" s="1324"/>
      <c r="EH648" s="1324">
        <f t="shared" si="6"/>
        <v>1101.1973684210525</v>
      </c>
      <c r="EI648" s="1324"/>
      <c r="EJ648" s="1324"/>
      <c r="EK648" s="1324"/>
      <c r="EL648" s="1324"/>
      <c r="EM648" s="1324" t="e">
        <f t="shared" si="7"/>
        <v>#VALUE!</v>
      </c>
      <c r="EN648" s="1324"/>
      <c r="EO648" s="1324"/>
      <c r="EP648" s="1324"/>
      <c r="EQ648" s="1324"/>
      <c r="ER648" s="1324" t="e">
        <f t="shared" si="8"/>
        <v>#VALUE!</v>
      </c>
      <c r="ES648" s="1324"/>
      <c r="ET648" s="1324"/>
      <c r="EU648" s="1324"/>
      <c r="EV648" s="1324"/>
      <c r="EW648" s="1324" t="e">
        <f t="shared" si="9"/>
        <v>#VALUE!</v>
      </c>
      <c r="EX648" s="1324"/>
      <c r="EY648" s="1324"/>
      <c r="EZ648" s="1324"/>
      <c r="FA648" s="1324"/>
    </row>
    <row r="649" spans="1:157" ht="12.95" customHeight="1">
      <c r="B649" s="1575" t="s">
        <v>268</v>
      </c>
      <c r="C649" s="1328"/>
      <c r="D649" s="1328"/>
      <c r="E649" s="1328"/>
      <c r="F649" s="1328"/>
      <c r="G649" s="1328"/>
      <c r="H649" s="1328"/>
      <c r="I649" s="1328"/>
      <c r="J649" s="1328"/>
      <c r="K649" s="1328"/>
      <c r="L649" s="1328"/>
      <c r="M649" s="1328"/>
      <c r="N649" s="1328"/>
      <c r="O649" s="1328"/>
      <c r="P649" s="1328"/>
      <c r="Q649" s="1328"/>
      <c r="R649" s="1328"/>
      <c r="S649" s="1328"/>
      <c r="T649" s="1328"/>
      <c r="U649" s="1328"/>
      <c r="V649" s="1328"/>
      <c r="W649" s="1328"/>
      <c r="X649" s="1328"/>
      <c r="Y649" s="1328"/>
      <c r="Z649" s="1328"/>
      <c r="AA649" s="1328"/>
      <c r="AB649" s="1328"/>
      <c r="AC649" s="1328"/>
      <c r="AD649" s="1328"/>
      <c r="AE649" s="1328"/>
      <c r="AF649" s="1328"/>
      <c r="AG649" s="1328"/>
      <c r="AH649" s="1328"/>
      <c r="AI649" s="1328"/>
      <c r="AJ649" s="1328"/>
      <c r="AK649" s="1328"/>
      <c r="AL649" s="1328"/>
      <c r="AM649" s="1328"/>
      <c r="AN649" s="1576"/>
      <c r="AO649" s="1419">
        <f>AO647+AO648</f>
        <v>72517160</v>
      </c>
      <c r="AP649" s="1420"/>
      <c r="AQ649" s="1420"/>
      <c r="AR649" s="1420"/>
      <c r="AS649" s="1421"/>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24" t="e">
        <f t="shared" si="4"/>
        <v>#VALUE!</v>
      </c>
      <c r="DY649" s="1324"/>
      <c r="DZ649" s="1324"/>
      <c r="EA649" s="1324"/>
      <c r="EB649" s="1324"/>
      <c r="EC649" s="1324" t="e">
        <f t="shared" si="5"/>
        <v>#VALUE!</v>
      </c>
      <c r="ED649" s="1324"/>
      <c r="EE649" s="1324"/>
      <c r="EF649" s="1324"/>
      <c r="EG649" s="1324"/>
      <c r="EH649" s="1324" t="e">
        <f t="shared" si="6"/>
        <v>#VALUE!</v>
      </c>
      <c r="EI649" s="1324"/>
      <c r="EJ649" s="1324"/>
      <c r="EK649" s="1324"/>
      <c r="EL649" s="1324"/>
      <c r="EM649" s="1324" t="e">
        <f t="shared" si="7"/>
        <v>#VALUE!</v>
      </c>
      <c r="EN649" s="1324"/>
      <c r="EO649" s="1324"/>
      <c r="EP649" s="1324"/>
      <c r="EQ649" s="1324"/>
      <c r="ER649" s="1324" t="e">
        <f t="shared" si="8"/>
        <v>#VALUE!</v>
      </c>
      <c r="ES649" s="1324"/>
      <c r="ET649" s="1324"/>
      <c r="EU649" s="1324"/>
      <c r="EV649" s="1324"/>
      <c r="EW649" s="1324" t="e">
        <f t="shared" si="9"/>
        <v>#VALUE!</v>
      </c>
      <c r="EX649" s="1324"/>
      <c r="EY649" s="1324"/>
      <c r="EZ649" s="1324"/>
      <c r="FA649" s="1324"/>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24" t="e">
        <f t="shared" si="4"/>
        <v>#VALUE!</v>
      </c>
      <c r="DY650" s="1324"/>
      <c r="DZ650" s="1324"/>
      <c r="EA650" s="1324"/>
      <c r="EB650" s="1324"/>
      <c r="EC650" s="1324" t="e">
        <f t="shared" si="5"/>
        <v>#VALUE!</v>
      </c>
      <c r="ED650" s="1324"/>
      <c r="EE650" s="1324"/>
      <c r="EF650" s="1324"/>
      <c r="EG650" s="1324"/>
      <c r="EH650" s="1324" t="e">
        <f t="shared" si="6"/>
        <v>#VALUE!</v>
      </c>
      <c r="EI650" s="1324"/>
      <c r="EJ650" s="1324"/>
      <c r="EK650" s="1324"/>
      <c r="EL650" s="1324"/>
      <c r="EM650" s="1324" t="e">
        <f t="shared" si="7"/>
        <v>#VALUE!</v>
      </c>
      <c r="EN650" s="1324"/>
      <c r="EO650" s="1324"/>
      <c r="EP650" s="1324"/>
      <c r="EQ650" s="1324"/>
      <c r="ER650" s="1324" t="e">
        <f t="shared" si="8"/>
        <v>#VALUE!</v>
      </c>
      <c r="ES650" s="1324"/>
      <c r="ET650" s="1324"/>
      <c r="EU650" s="1324"/>
      <c r="EV650" s="1324"/>
      <c r="EW650" s="1324" t="e">
        <f t="shared" si="9"/>
        <v>#VALUE!</v>
      </c>
      <c r="EX650" s="1324"/>
      <c r="EY650" s="1324"/>
      <c r="EZ650" s="1324"/>
      <c r="FA650" s="1324"/>
    </row>
    <row r="651" spans="1:157" ht="12.95" customHeight="1">
      <c r="A651" s="55" t="s">
        <v>112</v>
      </c>
      <c r="B651" t="s">
        <v>463</v>
      </c>
      <c r="G651" s="1346" t="str">
        <f>C635</f>
        <v>Citibank, N.A.</v>
      </c>
      <c r="H651" s="1346"/>
      <c r="I651" s="1346"/>
      <c r="J651" s="1346"/>
      <c r="K651" s="1346"/>
      <c r="L651" s="1346"/>
      <c r="M651" s="1346"/>
      <c r="N651" s="1346"/>
      <c r="O651" s="1346"/>
      <c r="P651" s="1346"/>
      <c r="Q651" s="1346"/>
      <c r="R651" s="1346"/>
      <c r="S651" s="8"/>
      <c r="T651" s="55" t="s">
        <v>113</v>
      </c>
      <c r="U651" t="s">
        <v>463</v>
      </c>
      <c r="Z651" s="1346" t="str">
        <f>C636</f>
        <v>City of Elk Grove</v>
      </c>
      <c r="AA651" s="1346"/>
      <c r="AB651" s="1346"/>
      <c r="AC651" s="1346"/>
      <c r="AD651" s="1346"/>
      <c r="AE651" s="1346"/>
      <c r="AF651" s="1346"/>
      <c r="AG651" s="1346"/>
      <c r="AH651" s="1346"/>
      <c r="AI651" s="1346"/>
      <c r="AJ651" s="1346"/>
      <c r="AK651" s="134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24" t="e">
        <f t="shared" si="4"/>
        <v>#VALUE!</v>
      </c>
      <c r="DY651" s="1324"/>
      <c r="DZ651" s="1324"/>
      <c r="EA651" s="1324"/>
      <c r="EB651" s="1324"/>
      <c r="EC651" s="1324" t="e">
        <f t="shared" si="5"/>
        <v>#VALUE!</v>
      </c>
      <c r="ED651" s="1324"/>
      <c r="EE651" s="1324"/>
      <c r="EF651" s="1324"/>
      <c r="EG651" s="1324"/>
      <c r="EH651" s="1324" t="e">
        <f t="shared" si="6"/>
        <v>#VALUE!</v>
      </c>
      <c r="EI651" s="1324"/>
      <c r="EJ651" s="1324"/>
      <c r="EK651" s="1324"/>
      <c r="EL651" s="1324"/>
      <c r="EM651" s="1324" t="e">
        <f t="shared" si="7"/>
        <v>#VALUE!</v>
      </c>
      <c r="EN651" s="1324"/>
      <c r="EO651" s="1324"/>
      <c r="EP651" s="1324"/>
      <c r="EQ651" s="1324"/>
      <c r="ER651" s="1324" t="e">
        <f t="shared" si="8"/>
        <v>#VALUE!</v>
      </c>
      <c r="ES651" s="1324"/>
      <c r="ET651" s="1324"/>
      <c r="EU651" s="1324"/>
      <c r="EV651" s="1324"/>
      <c r="EW651" s="1324" t="e">
        <f t="shared" si="9"/>
        <v>#VALUE!</v>
      </c>
      <c r="EX651" s="1324"/>
      <c r="EY651" s="1324"/>
      <c r="EZ651" s="1324"/>
      <c r="FA651" s="1324"/>
    </row>
    <row r="652" spans="1:157" ht="12.95" customHeight="1">
      <c r="A652" s="22"/>
      <c r="B652" t="s">
        <v>85</v>
      </c>
      <c r="G652" s="1272" t="s">
        <v>2742</v>
      </c>
      <c r="H652" s="1272"/>
      <c r="I652" s="1272"/>
      <c r="J652" s="1272"/>
      <c r="K652" s="1272"/>
      <c r="L652" s="1272"/>
      <c r="M652" s="1272"/>
      <c r="N652" s="1272"/>
      <c r="O652" s="1272"/>
      <c r="P652" s="1272"/>
      <c r="Q652" s="1272"/>
      <c r="R652" s="1272"/>
      <c r="S652" s="8"/>
      <c r="T652" s="22"/>
      <c r="U652" t="s">
        <v>85</v>
      </c>
      <c r="Z652" s="1272" t="s">
        <v>2648</v>
      </c>
      <c r="AA652" s="1272"/>
      <c r="AB652" s="1272"/>
      <c r="AC652" s="1272"/>
      <c r="AD652" s="1272"/>
      <c r="AE652" s="1272"/>
      <c r="AF652" s="1272"/>
      <c r="AG652" s="1272"/>
      <c r="AH652" s="1272"/>
      <c r="AI652" s="1272"/>
      <c r="AJ652" s="1272"/>
      <c r="AK652" s="1272"/>
      <c r="AV652" s="3"/>
      <c r="AW652" s="3"/>
      <c r="AX652" s="3"/>
      <c r="AY652" s="3"/>
      <c r="AZ652" s="3"/>
      <c r="BA652" s="3"/>
      <c r="BB652" s="3"/>
      <c r="BC652" s="3"/>
      <c r="BD652" s="3"/>
      <c r="BE652" s="3"/>
      <c r="BF652" s="3"/>
      <c r="BG652" s="3"/>
      <c r="BH652" s="3"/>
      <c r="BI652" s="3"/>
      <c r="BJ652" s="3"/>
      <c r="BK652" s="3"/>
      <c r="BL652" s="3"/>
      <c r="BM652" s="3"/>
      <c r="DX652" s="1324" t="e">
        <f t="shared" si="4"/>
        <v>#VALUE!</v>
      </c>
      <c r="DY652" s="1324"/>
      <c r="DZ652" s="1324"/>
      <c r="EA652" s="1324"/>
      <c r="EB652" s="1324"/>
      <c r="EC652" s="1324" t="e">
        <f t="shared" si="5"/>
        <v>#VALUE!</v>
      </c>
      <c r="ED652" s="1324"/>
      <c r="EE652" s="1324"/>
      <c r="EF652" s="1324"/>
      <c r="EG652" s="1324"/>
      <c r="EH652" s="1324" t="e">
        <f t="shared" si="6"/>
        <v>#VALUE!</v>
      </c>
      <c r="EI652" s="1324"/>
      <c r="EJ652" s="1324"/>
      <c r="EK652" s="1324"/>
      <c r="EL652" s="1324"/>
      <c r="EM652" s="1324" t="e">
        <f t="shared" si="7"/>
        <v>#VALUE!</v>
      </c>
      <c r="EN652" s="1324"/>
      <c r="EO652" s="1324"/>
      <c r="EP652" s="1324"/>
      <c r="EQ652" s="1324"/>
      <c r="ER652" s="1324" t="e">
        <f t="shared" si="8"/>
        <v>#VALUE!</v>
      </c>
      <c r="ES652" s="1324"/>
      <c r="ET652" s="1324"/>
      <c r="EU652" s="1324"/>
      <c r="EV652" s="1324"/>
      <c r="EW652" s="1324" t="e">
        <f t="shared" si="9"/>
        <v>#VALUE!</v>
      </c>
      <c r="EX652" s="1324"/>
      <c r="EY652" s="1324"/>
      <c r="EZ652" s="1324"/>
      <c r="FA652" s="1324"/>
    </row>
    <row r="653" spans="1:157" ht="12.95" customHeight="1">
      <c r="A653" s="22"/>
      <c r="B653" t="s">
        <v>580</v>
      </c>
      <c r="G653" s="1272" t="s">
        <v>2743</v>
      </c>
      <c r="H653" s="1272"/>
      <c r="I653" s="1272"/>
      <c r="J653" s="1272"/>
      <c r="K653" s="1272"/>
      <c r="L653" s="1272"/>
      <c r="M653" s="1272"/>
      <c r="N653" s="1272"/>
      <c r="O653" s="1272"/>
      <c r="P653" s="1272"/>
      <c r="Q653" s="1272"/>
      <c r="R653" s="1272"/>
      <c r="T653" s="22"/>
      <c r="U653" t="s">
        <v>580</v>
      </c>
      <c r="Z653" s="1271" t="s">
        <v>2745</v>
      </c>
      <c r="AA653" s="1271"/>
      <c r="AB653" s="1271"/>
      <c r="AC653" s="1271"/>
      <c r="AD653" s="1271"/>
      <c r="AE653" s="1271"/>
      <c r="AF653" s="1271"/>
      <c r="AG653" s="1271"/>
      <c r="AH653" s="1271"/>
      <c r="AI653" s="1271"/>
      <c r="AJ653" s="1271"/>
      <c r="AK653" s="1271"/>
      <c r="AV653" s="3"/>
      <c r="AW653" s="3"/>
      <c r="AX653" s="3"/>
      <c r="AY653" s="3"/>
      <c r="AZ653" s="3"/>
      <c r="BA653" s="3"/>
      <c r="BB653" s="3"/>
      <c r="BC653" s="3"/>
      <c r="BD653" s="3"/>
      <c r="BE653" s="3"/>
      <c r="BF653" s="3"/>
      <c r="BG653" s="3"/>
      <c r="BH653" s="3"/>
      <c r="BI653" s="3"/>
      <c r="BJ653" s="3"/>
      <c r="BK653" s="3"/>
      <c r="BL653" s="3"/>
      <c r="BM653" s="3"/>
      <c r="DX653" s="1324" t="e">
        <f t="shared" si="4"/>
        <v>#VALUE!</v>
      </c>
      <c r="DY653" s="1324"/>
      <c r="DZ653" s="1324"/>
      <c r="EA653" s="1324"/>
      <c r="EB653" s="1324"/>
      <c r="EC653" s="1324" t="e">
        <f t="shared" si="5"/>
        <v>#VALUE!</v>
      </c>
      <c r="ED653" s="1324"/>
      <c r="EE653" s="1324"/>
      <c r="EF653" s="1324"/>
      <c r="EG653" s="1324"/>
      <c r="EH653" s="1324" t="e">
        <f t="shared" si="6"/>
        <v>#VALUE!</v>
      </c>
      <c r="EI653" s="1324"/>
      <c r="EJ653" s="1324"/>
      <c r="EK653" s="1324"/>
      <c r="EL653" s="1324"/>
      <c r="EM653" s="1324" t="e">
        <f t="shared" si="7"/>
        <v>#VALUE!</v>
      </c>
      <c r="EN653" s="1324"/>
      <c r="EO653" s="1324"/>
      <c r="EP653" s="1324"/>
      <c r="EQ653" s="1324"/>
      <c r="ER653" s="1324" t="e">
        <f t="shared" si="8"/>
        <v>#VALUE!</v>
      </c>
      <c r="ES653" s="1324"/>
      <c r="ET653" s="1324"/>
      <c r="EU653" s="1324"/>
      <c r="EV653" s="1324"/>
      <c r="EW653" s="1324" t="e">
        <f t="shared" si="9"/>
        <v>#VALUE!</v>
      </c>
      <c r="EX653" s="1324"/>
      <c r="EY653" s="1324"/>
      <c r="EZ653" s="1324"/>
      <c r="FA653" s="1324"/>
    </row>
    <row r="654" spans="1:157" ht="12.95" customHeight="1">
      <c r="A654" s="22"/>
      <c r="B654" t="s">
        <v>17</v>
      </c>
      <c r="G654" s="1272" t="s">
        <v>2744</v>
      </c>
      <c r="H654" s="1272"/>
      <c r="I654" s="1272"/>
      <c r="J654" s="1272"/>
      <c r="K654" s="1272"/>
      <c r="L654" s="1272"/>
      <c r="M654" s="1272"/>
      <c r="N654" s="1272"/>
      <c r="O654" s="1272"/>
      <c r="P654" s="1272"/>
      <c r="Q654" s="1272"/>
      <c r="R654" s="1272"/>
      <c r="S654" s="8"/>
      <c r="T654" s="22"/>
      <c r="U654" t="s">
        <v>17</v>
      </c>
      <c r="Z654" s="1271" t="s">
        <v>2746</v>
      </c>
      <c r="AA654" s="1271"/>
      <c r="AB654" s="1271"/>
      <c r="AC654" s="1271"/>
      <c r="AD654" s="1271"/>
      <c r="AE654" s="1271"/>
      <c r="AF654" s="1271"/>
      <c r="AG654" s="1271"/>
      <c r="AH654" s="1271"/>
      <c r="AI654" s="1271"/>
      <c r="AJ654" s="1271"/>
      <c r="AK654" s="1271"/>
      <c r="AZ654" s="3"/>
      <c r="BA654" s="3"/>
      <c r="BB654" s="3"/>
      <c r="BC654" s="3"/>
      <c r="BD654" s="3"/>
      <c r="BE654" s="3"/>
      <c r="BF654" s="3"/>
      <c r="BG654" s="3"/>
      <c r="BH654" s="3"/>
      <c r="BI654" s="3"/>
      <c r="BJ654" s="3"/>
      <c r="BK654" s="3"/>
      <c r="BL654" s="3"/>
      <c r="BM654" s="3"/>
      <c r="DX654" s="1324" t="e">
        <f t="shared" si="4"/>
        <v>#VALUE!</v>
      </c>
      <c r="DY654" s="1324"/>
      <c r="DZ654" s="1324"/>
      <c r="EA654" s="1324"/>
      <c r="EB654" s="1324"/>
      <c r="EC654" s="1324" t="e">
        <f t="shared" si="5"/>
        <v>#VALUE!</v>
      </c>
      <c r="ED654" s="1324"/>
      <c r="EE654" s="1324"/>
      <c r="EF654" s="1324"/>
      <c r="EG654" s="1324"/>
      <c r="EH654" s="1324" t="e">
        <f t="shared" si="6"/>
        <v>#VALUE!</v>
      </c>
      <c r="EI654" s="1324"/>
      <c r="EJ654" s="1324"/>
      <c r="EK654" s="1324"/>
      <c r="EL654" s="1324"/>
      <c r="EM654" s="1324" t="e">
        <f t="shared" si="7"/>
        <v>#VALUE!</v>
      </c>
      <c r="EN654" s="1324"/>
      <c r="EO654" s="1324"/>
      <c r="EP654" s="1324"/>
      <c r="EQ654" s="1324"/>
      <c r="ER654" s="1324" t="e">
        <f t="shared" si="8"/>
        <v>#VALUE!</v>
      </c>
      <c r="ES654" s="1324"/>
      <c r="ET654" s="1324"/>
      <c r="EU654" s="1324"/>
      <c r="EV654" s="1324"/>
      <c r="EW654" s="1324" t="e">
        <f t="shared" si="9"/>
        <v>#VALUE!</v>
      </c>
      <c r="EX654" s="1324"/>
      <c r="EY654" s="1324"/>
      <c r="EZ654" s="1324"/>
      <c r="FA654" s="1324"/>
    </row>
    <row r="655" spans="1:157" ht="12.95" customHeight="1">
      <c r="A655" s="22"/>
      <c r="B655" t="s">
        <v>316</v>
      </c>
      <c r="G655" s="1274" t="s">
        <v>2748</v>
      </c>
      <c r="H655" s="1274"/>
      <c r="I655" s="1274"/>
      <c r="J655" s="1274"/>
      <c r="K655" s="1274"/>
      <c r="L655" s="1274"/>
      <c r="O655" s="33" t="s">
        <v>206</v>
      </c>
      <c r="P655" s="1345"/>
      <c r="Q655" s="1345"/>
      <c r="R655" s="1345"/>
      <c r="S655" s="10"/>
      <c r="T655" s="22"/>
      <c r="U655" t="s">
        <v>316</v>
      </c>
      <c r="Z655" s="1274" t="s">
        <v>2650</v>
      </c>
      <c r="AA655" s="1274"/>
      <c r="AB655" s="1274"/>
      <c r="AC655" s="1274"/>
      <c r="AD655" s="1274"/>
      <c r="AE655" s="1274"/>
      <c r="AH655" s="33" t="s">
        <v>206</v>
      </c>
      <c r="AI655" s="1345"/>
      <c r="AJ655" s="1345"/>
      <c r="AK655" s="1345"/>
      <c r="AZ655" s="34"/>
      <c r="BA655" s="34"/>
      <c r="BB655" s="34"/>
      <c r="BC655" s="34"/>
      <c r="BD655" s="34"/>
      <c r="BE655" s="34"/>
      <c r="BF655" s="34"/>
      <c r="BG655" s="34"/>
      <c r="BH655" s="34"/>
      <c r="BI655" s="34"/>
      <c r="BJ655" s="34"/>
      <c r="BK655" s="34"/>
      <c r="BL655" s="34"/>
      <c r="BM655" s="34"/>
      <c r="DX655" s="1324" t="e">
        <f t="shared" si="4"/>
        <v>#VALUE!</v>
      </c>
      <c r="DY655" s="1324"/>
      <c r="DZ655" s="1324"/>
      <c r="EA655" s="1324"/>
      <c r="EB655" s="1324"/>
      <c r="EC655" s="1324" t="e">
        <f t="shared" si="5"/>
        <v>#VALUE!</v>
      </c>
      <c r="ED655" s="1324"/>
      <c r="EE655" s="1324"/>
      <c r="EF655" s="1324"/>
      <c r="EG655" s="1324"/>
      <c r="EH655" s="1324" t="e">
        <f t="shared" si="6"/>
        <v>#VALUE!</v>
      </c>
      <c r="EI655" s="1324"/>
      <c r="EJ655" s="1324"/>
      <c r="EK655" s="1324"/>
      <c r="EL655" s="1324"/>
      <c r="EM655" s="1324" t="e">
        <f t="shared" si="7"/>
        <v>#VALUE!</v>
      </c>
      <c r="EN655" s="1324"/>
      <c r="EO655" s="1324"/>
      <c r="EP655" s="1324"/>
      <c r="EQ655" s="1324"/>
      <c r="ER655" s="1324" t="e">
        <f t="shared" si="8"/>
        <v>#VALUE!</v>
      </c>
      <c r="ES655" s="1324"/>
      <c r="ET655" s="1324"/>
      <c r="EU655" s="1324"/>
      <c r="EV655" s="1324"/>
      <c r="EW655" s="1324" t="e">
        <f t="shared" si="9"/>
        <v>#VALUE!</v>
      </c>
      <c r="EX655" s="1324"/>
      <c r="EY655" s="1324"/>
      <c r="EZ655" s="1324"/>
      <c r="FA655" s="1324"/>
    </row>
    <row r="656" spans="1:157" ht="12.95" customHeight="1">
      <c r="A656" s="22"/>
      <c r="B656" t="s">
        <v>18</v>
      </c>
      <c r="H656" s="1272" t="s">
        <v>2771</v>
      </c>
      <c r="I656" s="1272"/>
      <c r="J656" s="1272"/>
      <c r="K656" s="1272"/>
      <c r="L656" s="1272"/>
      <c r="M656" s="1272"/>
      <c r="N656" s="1272"/>
      <c r="O656" s="1272"/>
      <c r="P656" s="1272"/>
      <c r="Q656" s="1272"/>
      <c r="R656" s="1272"/>
      <c r="S656" s="8"/>
      <c r="T656" s="22"/>
      <c r="U656" t="s">
        <v>18</v>
      </c>
      <c r="AA656" s="1272" t="s">
        <v>2750</v>
      </c>
      <c r="AB656" s="1272"/>
      <c r="AC656" s="1272"/>
      <c r="AD656" s="1272"/>
      <c r="AE656" s="1272"/>
      <c r="AF656" s="1272"/>
      <c r="AG656" s="1272"/>
      <c r="AH656" s="1272"/>
      <c r="AI656" s="1272"/>
      <c r="AJ656" s="1272"/>
      <c r="AK656" s="1272"/>
      <c r="AZ656" s="34"/>
      <c r="BA656" s="34"/>
      <c r="BB656" s="34"/>
      <c r="BC656" s="34"/>
      <c r="BD656" s="34"/>
      <c r="BE656" s="34"/>
      <c r="BF656" s="34"/>
      <c r="BG656" s="34"/>
      <c r="BH656" s="34"/>
      <c r="BI656" s="34"/>
      <c r="BJ656" s="34"/>
      <c r="BK656" s="34"/>
      <c r="BL656" s="34"/>
      <c r="BM656" s="34"/>
      <c r="DX656" s="1324" t="e">
        <f t="shared" si="4"/>
        <v>#VALUE!</v>
      </c>
      <c r="DY656" s="1324"/>
      <c r="DZ656" s="1324"/>
      <c r="EA656" s="1324"/>
      <c r="EB656" s="1324"/>
      <c r="EC656" s="1324" t="e">
        <f t="shared" si="5"/>
        <v>#VALUE!</v>
      </c>
      <c r="ED656" s="1324"/>
      <c r="EE656" s="1324"/>
      <c r="EF656" s="1324"/>
      <c r="EG656" s="1324"/>
      <c r="EH656" s="1324" t="e">
        <f t="shared" si="6"/>
        <v>#VALUE!</v>
      </c>
      <c r="EI656" s="1324"/>
      <c r="EJ656" s="1324"/>
      <c r="EK656" s="1324"/>
      <c r="EL656" s="1324"/>
      <c r="EM656" s="1324" t="e">
        <f t="shared" si="7"/>
        <v>#VALUE!</v>
      </c>
      <c r="EN656" s="1324"/>
      <c r="EO656" s="1324"/>
      <c r="EP656" s="1324"/>
      <c r="EQ656" s="1324"/>
      <c r="ER656" s="1324" t="e">
        <f t="shared" si="8"/>
        <v>#VALUE!</v>
      </c>
      <c r="ES656" s="1324"/>
      <c r="ET656" s="1324"/>
      <c r="EU656" s="1324"/>
      <c r="EV656" s="1324"/>
      <c r="EW656" s="1324" t="e">
        <f t="shared" si="9"/>
        <v>#VALUE!</v>
      </c>
      <c r="EX656" s="1324"/>
      <c r="EY656" s="1324"/>
      <c r="EZ656" s="1324"/>
      <c r="FA656" s="1324"/>
    </row>
    <row r="657" spans="1:157" ht="12.95" customHeight="1">
      <c r="A657" s="22"/>
      <c r="B657" t="s">
        <v>20</v>
      </c>
      <c r="N657" s="1269" t="s">
        <v>545</v>
      </c>
      <c r="O657" s="1269"/>
      <c r="T657" s="22"/>
      <c r="U657" t="s">
        <v>20</v>
      </c>
      <c r="AG657" s="1269" t="s">
        <v>545</v>
      </c>
      <c r="AH657" s="1269"/>
      <c r="AZ657" s="34"/>
      <c r="BA657" s="34"/>
      <c r="BB657" s="34"/>
      <c r="BC657" s="34"/>
      <c r="BD657" s="34"/>
      <c r="BE657" s="34"/>
      <c r="BF657" s="34"/>
      <c r="BG657" s="34"/>
      <c r="BH657" s="34"/>
      <c r="BI657" s="34"/>
      <c r="BJ657" s="34"/>
      <c r="BK657" s="34"/>
      <c r="BL657" s="34"/>
      <c r="BM657" s="34"/>
      <c r="DX657" s="1324" t="e">
        <f t="shared" si="4"/>
        <v>#VALUE!</v>
      </c>
      <c r="DY657" s="1324"/>
      <c r="DZ657" s="1324"/>
      <c r="EA657" s="1324"/>
      <c r="EB657" s="1324"/>
      <c r="EC657" s="1324" t="e">
        <f t="shared" si="5"/>
        <v>#VALUE!</v>
      </c>
      <c r="ED657" s="1324"/>
      <c r="EE657" s="1324"/>
      <c r="EF657" s="1324"/>
      <c r="EG657" s="1324"/>
      <c r="EH657" s="1324" t="e">
        <f t="shared" si="6"/>
        <v>#VALUE!</v>
      </c>
      <c r="EI657" s="1324"/>
      <c r="EJ657" s="1324"/>
      <c r="EK657" s="1324"/>
      <c r="EL657" s="1324"/>
      <c r="EM657" s="1324" t="e">
        <f t="shared" si="7"/>
        <v>#VALUE!</v>
      </c>
      <c r="EN657" s="1324"/>
      <c r="EO657" s="1324"/>
      <c r="EP657" s="1324"/>
      <c r="EQ657" s="1324"/>
      <c r="ER657" s="1324" t="e">
        <f t="shared" si="8"/>
        <v>#VALUE!</v>
      </c>
      <c r="ES657" s="1324"/>
      <c r="ET657" s="1324"/>
      <c r="EU657" s="1324"/>
      <c r="EV657" s="1324"/>
      <c r="EW657" s="1324" t="e">
        <f t="shared" si="9"/>
        <v>#VALUE!</v>
      </c>
      <c r="EX657" s="1324"/>
      <c r="EY657" s="1324"/>
      <c r="EZ657" s="1324"/>
      <c r="FA657" s="1324"/>
    </row>
    <row r="658" spans="1:157" ht="12.95" customHeight="1">
      <c r="A658" s="22"/>
      <c r="T658" s="22"/>
      <c r="AZ658" s="34"/>
      <c r="BA658" s="34"/>
      <c r="BB658" s="34"/>
      <c r="BC658" s="34"/>
      <c r="BD658" s="34"/>
      <c r="BE658" s="34"/>
      <c r="BF658" s="34"/>
      <c r="BG658" s="34"/>
      <c r="BH658" s="34"/>
      <c r="BI658" s="34"/>
      <c r="BJ658" s="34"/>
      <c r="BK658" s="34"/>
      <c r="BL658" s="34"/>
      <c r="BM658" s="34"/>
      <c r="DX658" s="1324" t="e">
        <f t="shared" si="4"/>
        <v>#VALUE!</v>
      </c>
      <c r="DY658" s="1324"/>
      <c r="DZ658" s="1324"/>
      <c r="EA658" s="1324"/>
      <c r="EB658" s="1324"/>
      <c r="EC658" s="1324" t="e">
        <f t="shared" si="5"/>
        <v>#VALUE!</v>
      </c>
      <c r="ED658" s="1324"/>
      <c r="EE658" s="1324"/>
      <c r="EF658" s="1324"/>
      <c r="EG658" s="1324"/>
      <c r="EH658" s="1324" t="e">
        <f t="shared" si="6"/>
        <v>#VALUE!</v>
      </c>
      <c r="EI658" s="1324"/>
      <c r="EJ658" s="1324"/>
      <c r="EK658" s="1324"/>
      <c r="EL658" s="1324"/>
      <c r="EM658" s="1324" t="e">
        <f t="shared" si="7"/>
        <v>#VALUE!</v>
      </c>
      <c r="EN658" s="1324"/>
      <c r="EO658" s="1324"/>
      <c r="EP658" s="1324"/>
      <c r="EQ658" s="1324"/>
      <c r="ER658" s="1324" t="e">
        <f t="shared" si="8"/>
        <v>#VALUE!</v>
      </c>
      <c r="ES658" s="1324"/>
      <c r="ET658" s="1324"/>
      <c r="EU658" s="1324"/>
      <c r="EV658" s="1324"/>
      <c r="EW658" s="1324" t="e">
        <f t="shared" si="9"/>
        <v>#VALUE!</v>
      </c>
      <c r="EX658" s="1324"/>
      <c r="EY658" s="1324"/>
      <c r="EZ658" s="1324"/>
      <c r="FA658" s="1324"/>
    </row>
    <row r="659" spans="1:157" ht="12.95" customHeight="1">
      <c r="A659" s="55" t="s">
        <v>119</v>
      </c>
      <c r="B659" t="s">
        <v>463</v>
      </c>
      <c r="G659" s="1346" t="str">
        <f>C637</f>
        <v>Seasons Apartments, LP</v>
      </c>
      <c r="H659" s="1346"/>
      <c r="I659" s="1346"/>
      <c r="J659" s="1346"/>
      <c r="K659" s="1346"/>
      <c r="L659" s="1346"/>
      <c r="M659" s="1346"/>
      <c r="N659" s="1346"/>
      <c r="O659" s="1346"/>
      <c r="P659" s="1346"/>
      <c r="Q659" s="1346"/>
      <c r="R659" s="1346"/>
      <c r="T659" s="55" t="s">
        <v>581</v>
      </c>
      <c r="U659" t="s">
        <v>463</v>
      </c>
      <c r="Z659" s="1346" t="str">
        <f>C638</f>
        <v>Vintage Housing Holdings, LLC</v>
      </c>
      <c r="AA659" s="1346"/>
      <c r="AB659" s="1346"/>
      <c r="AC659" s="1346"/>
      <c r="AD659" s="1346"/>
      <c r="AE659" s="1346"/>
      <c r="AF659" s="1346"/>
      <c r="AG659" s="1346"/>
      <c r="AH659" s="1346"/>
      <c r="AI659" s="1346"/>
      <c r="AJ659" s="1346"/>
      <c r="AK659" s="1346"/>
      <c r="AZ659" s="34"/>
      <c r="BA659" s="34"/>
      <c r="BB659" s="34"/>
      <c r="BC659" s="34"/>
      <c r="BD659" s="34"/>
      <c r="BE659" s="34"/>
      <c r="BF659" s="34"/>
      <c r="BG659" s="34"/>
      <c r="BH659" s="34"/>
      <c r="BI659" s="34"/>
      <c r="BJ659" s="34"/>
      <c r="BK659" s="34"/>
      <c r="BL659" s="34"/>
      <c r="BM659" s="34"/>
      <c r="DX659" s="1324" t="e">
        <f t="shared" si="4"/>
        <v>#VALUE!</v>
      </c>
      <c r="DY659" s="1324"/>
      <c r="DZ659" s="1324"/>
      <c r="EA659" s="1324"/>
      <c r="EB659" s="1324"/>
      <c r="EC659" s="1324" t="e">
        <f t="shared" si="5"/>
        <v>#VALUE!</v>
      </c>
      <c r="ED659" s="1324"/>
      <c r="EE659" s="1324"/>
      <c r="EF659" s="1324"/>
      <c r="EG659" s="1324"/>
      <c r="EH659" s="1324" t="e">
        <f t="shared" si="6"/>
        <v>#VALUE!</v>
      </c>
      <c r="EI659" s="1324"/>
      <c r="EJ659" s="1324"/>
      <c r="EK659" s="1324"/>
      <c r="EL659" s="1324"/>
      <c r="EM659" s="1324" t="e">
        <f t="shared" si="7"/>
        <v>#VALUE!</v>
      </c>
      <c r="EN659" s="1324"/>
      <c r="EO659" s="1324"/>
      <c r="EP659" s="1324"/>
      <c r="EQ659" s="1324"/>
      <c r="ER659" s="1324" t="e">
        <f t="shared" si="8"/>
        <v>#VALUE!</v>
      </c>
      <c r="ES659" s="1324"/>
      <c r="ET659" s="1324"/>
      <c r="EU659" s="1324"/>
      <c r="EV659" s="1324"/>
      <c r="EW659" s="1324" t="e">
        <f t="shared" si="9"/>
        <v>#VALUE!</v>
      </c>
      <c r="EX659" s="1324"/>
      <c r="EY659" s="1324"/>
      <c r="EZ659" s="1324"/>
      <c r="FA659" s="1324"/>
    </row>
    <row r="660" spans="1:157" ht="12.95" customHeight="1">
      <c r="A660" s="22"/>
      <c r="B660" t="s">
        <v>85</v>
      </c>
      <c r="G660" s="1272" t="s">
        <v>2731</v>
      </c>
      <c r="H660" s="1272"/>
      <c r="I660" s="1272"/>
      <c r="J660" s="1272"/>
      <c r="K660" s="1272"/>
      <c r="L660" s="1272"/>
      <c r="M660" s="1272"/>
      <c r="N660" s="1272"/>
      <c r="O660" s="1272"/>
      <c r="P660" s="1272"/>
      <c r="Q660" s="1272"/>
      <c r="R660" s="1272"/>
      <c r="T660" s="22"/>
      <c r="U660" t="s">
        <v>85</v>
      </c>
      <c r="Z660" s="1272" t="s">
        <v>2680</v>
      </c>
      <c r="AA660" s="1272"/>
      <c r="AB660" s="1272"/>
      <c r="AC660" s="1272"/>
      <c r="AD660" s="1272"/>
      <c r="AE660" s="1272"/>
      <c r="AF660" s="1272"/>
      <c r="AG660" s="1272"/>
      <c r="AH660" s="1272"/>
      <c r="AI660" s="1272"/>
      <c r="AJ660" s="1272"/>
      <c r="AK660" s="1272"/>
      <c r="AZ660" s="34"/>
      <c r="BA660" s="34"/>
      <c r="BB660" s="34"/>
      <c r="BC660" s="34"/>
      <c r="BD660" s="34"/>
      <c r="BE660" s="34"/>
      <c r="BF660" s="34"/>
      <c r="BG660" s="34"/>
      <c r="BH660" s="34"/>
      <c r="BI660" s="34"/>
      <c r="BJ660" s="34"/>
      <c r="BK660" s="34"/>
      <c r="BL660" s="34"/>
      <c r="BM660" s="34"/>
      <c r="DX660" s="1324" t="e">
        <f t="shared" si="4"/>
        <v>#VALUE!</v>
      </c>
      <c r="DY660" s="1324"/>
      <c r="DZ660" s="1324"/>
      <c r="EA660" s="1324"/>
      <c r="EB660" s="1324"/>
      <c r="EC660" s="1324" t="e">
        <f t="shared" si="5"/>
        <v>#VALUE!</v>
      </c>
      <c r="ED660" s="1324"/>
      <c r="EE660" s="1324"/>
      <c r="EF660" s="1324"/>
      <c r="EG660" s="1324"/>
      <c r="EH660" s="1324" t="e">
        <f t="shared" si="6"/>
        <v>#VALUE!</v>
      </c>
      <c r="EI660" s="1324"/>
      <c r="EJ660" s="1324"/>
      <c r="EK660" s="1324"/>
      <c r="EL660" s="1324"/>
      <c r="EM660" s="1324" t="e">
        <f t="shared" si="7"/>
        <v>#VALUE!</v>
      </c>
      <c r="EN660" s="1324"/>
      <c r="EO660" s="1324"/>
      <c r="EP660" s="1324"/>
      <c r="EQ660" s="1324"/>
      <c r="ER660" s="1324" t="e">
        <f t="shared" si="8"/>
        <v>#VALUE!</v>
      </c>
      <c r="ES660" s="1324"/>
      <c r="ET660" s="1324"/>
      <c r="EU660" s="1324"/>
      <c r="EV660" s="1324"/>
      <c r="EW660" s="1324" t="e">
        <f t="shared" si="9"/>
        <v>#VALUE!</v>
      </c>
      <c r="EX660" s="1324"/>
      <c r="EY660" s="1324"/>
      <c r="EZ660" s="1324"/>
      <c r="FA660" s="1324"/>
    </row>
    <row r="661" spans="1:157" ht="12.95" customHeight="1">
      <c r="A661" s="22"/>
      <c r="B661" t="s">
        <v>580</v>
      </c>
      <c r="G661" s="1271" t="s">
        <v>2733</v>
      </c>
      <c r="H661" s="1271"/>
      <c r="I661" s="1271"/>
      <c r="J661" s="1271"/>
      <c r="K661" s="1271"/>
      <c r="L661" s="1271"/>
      <c r="M661" s="1271"/>
      <c r="N661" s="1271"/>
      <c r="O661" s="1271"/>
      <c r="P661" s="1271"/>
      <c r="Q661" s="1271"/>
      <c r="R661" s="1271"/>
      <c r="T661" s="22"/>
      <c r="U661" t="s">
        <v>580</v>
      </c>
      <c r="Z661" s="1271" t="s">
        <v>2663</v>
      </c>
      <c r="AA661" s="1271"/>
      <c r="AB661" s="1271"/>
      <c r="AC661" s="1271"/>
      <c r="AD661" s="1271"/>
      <c r="AE661" s="1271"/>
      <c r="AF661" s="1271"/>
      <c r="AG661" s="1271"/>
      <c r="AH661" s="1271"/>
      <c r="AI661" s="1271"/>
      <c r="AJ661" s="1271"/>
      <c r="AK661" s="1271"/>
      <c r="AZ661" s="34"/>
      <c r="BA661" s="34"/>
      <c r="BB661" s="34"/>
      <c r="BC661" s="34"/>
      <c r="BD661" s="34"/>
      <c r="BE661" s="34"/>
      <c r="BF661" s="34"/>
      <c r="BG661" s="34"/>
      <c r="BH661" s="34"/>
      <c r="BI661" s="34"/>
      <c r="BJ661" s="34"/>
      <c r="BK661" s="34"/>
      <c r="BL661" s="34"/>
      <c r="BM661" s="34"/>
      <c r="DX661" s="1324" t="e">
        <f t="shared" si="4"/>
        <v>#VALUE!</v>
      </c>
      <c r="DY661" s="1324"/>
      <c r="DZ661" s="1324"/>
      <c r="EA661" s="1324"/>
      <c r="EB661" s="1324"/>
      <c r="EC661" s="1324" t="e">
        <f t="shared" si="5"/>
        <v>#VALUE!</v>
      </c>
      <c r="ED661" s="1324"/>
      <c r="EE661" s="1324"/>
      <c r="EF661" s="1324"/>
      <c r="EG661" s="1324"/>
      <c r="EH661" s="1324" t="e">
        <f t="shared" si="6"/>
        <v>#VALUE!</v>
      </c>
      <c r="EI661" s="1324"/>
      <c r="EJ661" s="1324"/>
      <c r="EK661" s="1324"/>
      <c r="EL661" s="1324"/>
      <c r="EM661" s="1324" t="e">
        <f t="shared" si="7"/>
        <v>#VALUE!</v>
      </c>
      <c r="EN661" s="1324"/>
      <c r="EO661" s="1324"/>
      <c r="EP661" s="1324"/>
      <c r="EQ661" s="1324"/>
      <c r="ER661" s="1324" t="e">
        <f t="shared" si="8"/>
        <v>#VALUE!</v>
      </c>
      <c r="ES661" s="1324"/>
      <c r="ET661" s="1324"/>
      <c r="EU661" s="1324"/>
      <c r="EV661" s="1324"/>
      <c r="EW661" s="1324" t="e">
        <f t="shared" si="9"/>
        <v>#VALUE!</v>
      </c>
      <c r="EX661" s="1324"/>
      <c r="EY661" s="1324"/>
      <c r="EZ661" s="1324"/>
      <c r="FA661" s="1324"/>
    </row>
    <row r="662" spans="1:157" ht="12.95" customHeight="1">
      <c r="A662" s="22"/>
      <c r="B662" t="s">
        <v>17</v>
      </c>
      <c r="G662" s="1271" t="s">
        <v>2729</v>
      </c>
      <c r="H662" s="1271"/>
      <c r="I662" s="1271"/>
      <c r="J662" s="1271"/>
      <c r="K662" s="1271"/>
      <c r="L662" s="1271"/>
      <c r="M662" s="1271"/>
      <c r="N662" s="1271"/>
      <c r="O662" s="1271"/>
      <c r="P662" s="1271"/>
      <c r="Q662" s="1271"/>
      <c r="R662" s="1271"/>
      <c r="T662" s="22"/>
      <c r="U662" t="s">
        <v>17</v>
      </c>
      <c r="Z662" s="1271" t="s">
        <v>2732</v>
      </c>
      <c r="AA662" s="1271"/>
      <c r="AB662" s="1271"/>
      <c r="AC662" s="1271"/>
      <c r="AD662" s="1271"/>
      <c r="AE662" s="1271"/>
      <c r="AF662" s="1271"/>
      <c r="AG662" s="1271"/>
      <c r="AH662" s="1271"/>
      <c r="AI662" s="1271"/>
      <c r="AJ662" s="1271"/>
      <c r="AK662" s="1271"/>
      <c r="AZ662" s="34"/>
      <c r="BA662" s="34"/>
      <c r="BB662" s="34"/>
      <c r="BC662" s="34"/>
      <c r="BD662" s="34"/>
      <c r="BE662" s="34"/>
      <c r="BF662" s="34"/>
      <c r="BG662" s="34"/>
      <c r="BH662" s="34"/>
      <c r="BI662" s="34"/>
      <c r="BJ662" s="34"/>
      <c r="BK662" s="34"/>
      <c r="BL662" s="34"/>
      <c r="BM662" s="34"/>
      <c r="DX662" s="1324" t="e">
        <f t="shared" si="4"/>
        <v>#VALUE!</v>
      </c>
      <c r="DY662" s="1324"/>
      <c r="DZ662" s="1324"/>
      <c r="EA662" s="1324"/>
      <c r="EB662" s="1324"/>
      <c r="EC662" s="1324" t="e">
        <f t="shared" si="5"/>
        <v>#VALUE!</v>
      </c>
      <c r="ED662" s="1324"/>
      <c r="EE662" s="1324"/>
      <c r="EF662" s="1324"/>
      <c r="EG662" s="1324"/>
      <c r="EH662" s="1324" t="e">
        <f t="shared" si="6"/>
        <v>#VALUE!</v>
      </c>
      <c r="EI662" s="1324"/>
      <c r="EJ662" s="1324"/>
      <c r="EK662" s="1324"/>
      <c r="EL662" s="1324"/>
      <c r="EM662" s="1324" t="e">
        <f t="shared" si="7"/>
        <v>#VALUE!</v>
      </c>
      <c r="EN662" s="1324"/>
      <c r="EO662" s="1324"/>
      <c r="EP662" s="1324"/>
      <c r="EQ662" s="1324"/>
      <c r="ER662" s="1324" t="e">
        <f t="shared" si="8"/>
        <v>#VALUE!</v>
      </c>
      <c r="ES662" s="1324"/>
      <c r="ET662" s="1324"/>
      <c r="EU662" s="1324"/>
      <c r="EV662" s="1324"/>
      <c r="EW662" s="1324" t="e">
        <f t="shared" si="9"/>
        <v>#VALUE!</v>
      </c>
      <c r="EX662" s="1324"/>
      <c r="EY662" s="1324"/>
      <c r="EZ662" s="1324"/>
      <c r="FA662" s="1324"/>
    </row>
    <row r="663" spans="1:157" ht="12.95" customHeight="1">
      <c r="A663" s="22"/>
      <c r="B663" t="s">
        <v>316</v>
      </c>
      <c r="G663" s="1280" t="s">
        <v>2767</v>
      </c>
      <c r="H663" s="1274"/>
      <c r="I663" s="1274"/>
      <c r="J663" s="1274"/>
      <c r="K663" s="1274"/>
      <c r="L663" s="1274"/>
      <c r="O663" s="33" t="s">
        <v>206</v>
      </c>
      <c r="P663" s="1345"/>
      <c r="Q663" s="1345"/>
      <c r="R663" s="1345"/>
      <c r="T663" s="22"/>
      <c r="U663" t="s">
        <v>316</v>
      </c>
      <c r="Z663" s="1274" t="s">
        <v>2658</v>
      </c>
      <c r="AA663" s="1274"/>
      <c r="AB663" s="1274"/>
      <c r="AC663" s="1274"/>
      <c r="AD663" s="1274"/>
      <c r="AE663" s="1274"/>
      <c r="AH663" s="33" t="s">
        <v>206</v>
      </c>
      <c r="AI663" s="1345"/>
      <c r="AJ663" s="1345"/>
      <c r="AK663" s="1345"/>
      <c r="AZ663" s="34"/>
      <c r="BA663" s="34"/>
      <c r="BB663" s="34"/>
      <c r="BC663" s="34"/>
      <c r="BD663" s="34"/>
      <c r="BE663" s="34"/>
      <c r="BF663" s="34"/>
      <c r="BG663" s="34"/>
      <c r="BH663" s="34"/>
      <c r="BI663" s="34"/>
      <c r="BJ663" s="34"/>
      <c r="BK663" s="34"/>
      <c r="BL663" s="34"/>
      <c r="BM663" s="34"/>
      <c r="DX663" s="1324" t="e">
        <f t="shared" si="4"/>
        <v>#VALUE!</v>
      </c>
      <c r="DY663" s="1324"/>
      <c r="DZ663" s="1324"/>
      <c r="EA663" s="1324"/>
      <c r="EB663" s="1324"/>
      <c r="EC663" s="1324" t="e">
        <f t="shared" si="5"/>
        <v>#VALUE!</v>
      </c>
      <c r="ED663" s="1324"/>
      <c r="EE663" s="1324"/>
      <c r="EF663" s="1324"/>
      <c r="EG663" s="1324"/>
      <c r="EH663" s="1324" t="e">
        <f t="shared" si="6"/>
        <v>#VALUE!</v>
      </c>
      <c r="EI663" s="1324"/>
      <c r="EJ663" s="1324"/>
      <c r="EK663" s="1324"/>
      <c r="EL663" s="1324"/>
      <c r="EM663" s="1324" t="e">
        <f t="shared" si="7"/>
        <v>#VALUE!</v>
      </c>
      <c r="EN663" s="1324"/>
      <c r="EO663" s="1324"/>
      <c r="EP663" s="1324"/>
      <c r="EQ663" s="1324"/>
      <c r="ER663" s="1324" t="e">
        <f t="shared" si="8"/>
        <v>#VALUE!</v>
      </c>
      <c r="ES663" s="1324"/>
      <c r="ET663" s="1324"/>
      <c r="EU663" s="1324"/>
      <c r="EV663" s="1324"/>
      <c r="EW663" s="1324" t="e">
        <f t="shared" si="9"/>
        <v>#VALUE!</v>
      </c>
      <c r="EX663" s="1324"/>
      <c r="EY663" s="1324"/>
      <c r="EZ663" s="1324"/>
      <c r="FA663" s="1324"/>
    </row>
    <row r="664" spans="1:157" ht="12.95" customHeight="1">
      <c r="A664" s="22"/>
      <c r="B664" t="s">
        <v>18</v>
      </c>
      <c r="H664" s="1272" t="s">
        <v>2769</v>
      </c>
      <c r="I664" s="1272"/>
      <c r="J664" s="1272"/>
      <c r="K664" s="1272"/>
      <c r="L664" s="1272"/>
      <c r="M664" s="1272"/>
      <c r="N664" s="1272"/>
      <c r="O664" s="1272"/>
      <c r="P664" s="1272"/>
      <c r="Q664" s="1272"/>
      <c r="R664" s="1272"/>
      <c r="T664" s="22"/>
      <c r="U664" t="s">
        <v>18</v>
      </c>
      <c r="AA664" s="1272" t="s">
        <v>2751</v>
      </c>
      <c r="AB664" s="1272"/>
      <c r="AC664" s="1272"/>
      <c r="AD664" s="1272"/>
      <c r="AE664" s="1272"/>
      <c r="AF664" s="1272"/>
      <c r="AG664" s="1272"/>
      <c r="AH664" s="1272"/>
      <c r="AI664" s="1272"/>
      <c r="AJ664" s="1272"/>
      <c r="AK664" s="1272"/>
      <c r="AZ664" s="34"/>
      <c r="BA664" s="34"/>
      <c r="BB664" s="34"/>
      <c r="BC664" s="34"/>
      <c r="BD664" s="34"/>
      <c r="BE664" s="34"/>
      <c r="BF664" s="34"/>
      <c r="BG664" s="34"/>
      <c r="BH664" s="34"/>
      <c r="BI664" s="34"/>
      <c r="BJ664" s="34"/>
      <c r="BK664" s="34"/>
      <c r="BL664" s="34"/>
      <c r="BM664" s="34"/>
      <c r="DX664" s="1324" t="e">
        <f t="shared" si="4"/>
        <v>#VALUE!</v>
      </c>
      <c r="DY664" s="1324"/>
      <c r="DZ664" s="1324"/>
      <c r="EA664" s="1324"/>
      <c r="EB664" s="1324"/>
      <c r="EC664" s="1324" t="e">
        <f t="shared" si="5"/>
        <v>#VALUE!</v>
      </c>
      <c r="ED664" s="1324"/>
      <c r="EE664" s="1324"/>
      <c r="EF664" s="1324"/>
      <c r="EG664" s="1324"/>
      <c r="EH664" s="1324" t="e">
        <f t="shared" si="6"/>
        <v>#VALUE!</v>
      </c>
      <c r="EI664" s="1324"/>
      <c r="EJ664" s="1324"/>
      <c r="EK664" s="1324"/>
      <c r="EL664" s="1324"/>
      <c r="EM664" s="1324" t="e">
        <f t="shared" si="7"/>
        <v>#VALUE!</v>
      </c>
      <c r="EN664" s="1324"/>
      <c r="EO664" s="1324"/>
      <c r="EP664" s="1324"/>
      <c r="EQ664" s="1324"/>
      <c r="ER664" s="1324" t="e">
        <f t="shared" si="8"/>
        <v>#VALUE!</v>
      </c>
      <c r="ES664" s="1324"/>
      <c r="ET664" s="1324"/>
      <c r="EU664" s="1324"/>
      <c r="EV664" s="1324"/>
      <c r="EW664" s="1324" t="e">
        <f t="shared" si="9"/>
        <v>#VALUE!</v>
      </c>
      <c r="EX664" s="1324"/>
      <c r="EY664" s="1324"/>
      <c r="EZ664" s="1324"/>
      <c r="FA664" s="1324"/>
    </row>
    <row r="665" spans="1:157" ht="12.95" customHeight="1">
      <c r="A665" s="22"/>
      <c r="B665" t="s">
        <v>20</v>
      </c>
      <c r="N665" s="1269" t="s">
        <v>545</v>
      </c>
      <c r="O665" s="1269"/>
      <c r="T665" s="22"/>
      <c r="U665" t="s">
        <v>20</v>
      </c>
      <c r="AG665" s="1269" t="s">
        <v>545</v>
      </c>
      <c r="AH665" s="1269"/>
      <c r="AZ665" s="34"/>
      <c r="BA665" s="34"/>
      <c r="BB665" s="34"/>
      <c r="BC665" s="34"/>
      <c r="BD665" s="34"/>
      <c r="BE665" s="34"/>
      <c r="BF665" s="34"/>
      <c r="BG665" s="34"/>
      <c r="BH665" s="34"/>
      <c r="BI665" s="34"/>
      <c r="BJ665" s="34"/>
      <c r="BK665" s="34"/>
      <c r="BL665" s="34"/>
      <c r="BM665" s="34"/>
      <c r="DX665" s="1324" t="e">
        <f t="shared" si="4"/>
        <v>#VALUE!</v>
      </c>
      <c r="DY665" s="1324"/>
      <c r="DZ665" s="1324"/>
      <c r="EA665" s="1324"/>
      <c r="EB665" s="1324"/>
      <c r="EC665" s="1324" t="e">
        <f t="shared" si="5"/>
        <v>#VALUE!</v>
      </c>
      <c r="ED665" s="1324"/>
      <c r="EE665" s="1324"/>
      <c r="EF665" s="1324"/>
      <c r="EG665" s="1324"/>
      <c r="EH665" s="1324" t="e">
        <f t="shared" si="6"/>
        <v>#VALUE!</v>
      </c>
      <c r="EI665" s="1324"/>
      <c r="EJ665" s="1324"/>
      <c r="EK665" s="1324"/>
      <c r="EL665" s="1324"/>
      <c r="EM665" s="1324" t="e">
        <f t="shared" si="7"/>
        <v>#VALUE!</v>
      </c>
      <c r="EN665" s="1324"/>
      <c r="EO665" s="1324"/>
      <c r="EP665" s="1324"/>
      <c r="EQ665" s="1324"/>
      <c r="ER665" s="1324" t="e">
        <f t="shared" si="8"/>
        <v>#VALUE!</v>
      </c>
      <c r="ES665" s="1324"/>
      <c r="ET665" s="1324"/>
      <c r="EU665" s="1324"/>
      <c r="EV665" s="1324"/>
      <c r="EW665" s="1324" t="e">
        <f t="shared" si="9"/>
        <v>#VALUE!</v>
      </c>
      <c r="EX665" s="1324"/>
      <c r="EY665" s="1324"/>
      <c r="EZ665" s="1324"/>
      <c r="FA665" s="1324"/>
    </row>
    <row r="666" spans="1:157" ht="12.95" customHeight="1">
      <c r="A666" s="22"/>
      <c r="T666" s="22"/>
      <c r="AZ666" s="34"/>
      <c r="BA666" s="34"/>
      <c r="BB666" s="34"/>
      <c r="BC666" s="34"/>
      <c r="BD666" s="34"/>
      <c r="BE666" s="34"/>
      <c r="BF666" s="34"/>
      <c r="BG666" s="34"/>
      <c r="BH666" s="34"/>
      <c r="BI666" s="34"/>
      <c r="BJ666" s="34"/>
      <c r="BK666" s="34"/>
      <c r="BL666" s="34"/>
      <c r="BM666" s="34"/>
      <c r="DX666" s="1324" t="e">
        <f t="shared" si="4"/>
        <v>#VALUE!</v>
      </c>
      <c r="DY666" s="1324"/>
      <c r="DZ666" s="1324"/>
      <c r="EA666" s="1324"/>
      <c r="EB666" s="1324"/>
      <c r="EC666" s="1324" t="e">
        <f t="shared" si="5"/>
        <v>#VALUE!</v>
      </c>
      <c r="ED666" s="1324"/>
      <c r="EE666" s="1324"/>
      <c r="EF666" s="1324"/>
      <c r="EG666" s="1324"/>
      <c r="EH666" s="1324" t="e">
        <f t="shared" si="6"/>
        <v>#VALUE!</v>
      </c>
      <c r="EI666" s="1324"/>
      <c r="EJ666" s="1324"/>
      <c r="EK666" s="1324"/>
      <c r="EL666" s="1324"/>
      <c r="EM666" s="1324" t="e">
        <f t="shared" si="7"/>
        <v>#VALUE!</v>
      </c>
      <c r="EN666" s="1324"/>
      <c r="EO666" s="1324"/>
      <c r="EP666" s="1324"/>
      <c r="EQ666" s="1324"/>
      <c r="ER666" s="1324" t="e">
        <f t="shared" si="8"/>
        <v>#VALUE!</v>
      </c>
      <c r="ES666" s="1324"/>
      <c r="ET666" s="1324"/>
      <c r="EU666" s="1324"/>
      <c r="EV666" s="1324"/>
      <c r="EW666" s="1324" t="e">
        <f t="shared" si="9"/>
        <v>#VALUE!</v>
      </c>
      <c r="EX666" s="1324"/>
      <c r="EY666" s="1324"/>
      <c r="EZ666" s="1324"/>
      <c r="FA666" s="1324"/>
    </row>
    <row r="667" spans="1:157" ht="12.95" customHeight="1">
      <c r="A667" s="55" t="s">
        <v>763</v>
      </c>
      <c r="B667" t="s">
        <v>463</v>
      </c>
      <c r="G667" s="1346" t="str">
        <f>C639</f>
        <v>Vintage Housing Holdings, LLC</v>
      </c>
      <c r="H667" s="1346"/>
      <c r="I667" s="1346"/>
      <c r="J667" s="1346"/>
      <c r="K667" s="1346"/>
      <c r="L667" s="1346"/>
      <c r="M667" s="1346"/>
      <c r="N667" s="1346"/>
      <c r="O667" s="1346"/>
      <c r="P667" s="1346"/>
      <c r="Q667" s="1346"/>
      <c r="R667" s="1346"/>
      <c r="T667" s="55" t="s">
        <v>584</v>
      </c>
      <c r="U667" t="s">
        <v>463</v>
      </c>
      <c r="Z667" s="1346" t="str">
        <f>C640</f>
        <v>Vintage Housing Development, Inc.</v>
      </c>
      <c r="AA667" s="1346"/>
      <c r="AB667" s="1346"/>
      <c r="AC667" s="1346"/>
      <c r="AD667" s="1346"/>
      <c r="AE667" s="1346"/>
      <c r="AF667" s="1346"/>
      <c r="AG667" s="1346"/>
      <c r="AH667" s="1346"/>
      <c r="AI667" s="1346"/>
      <c r="AJ667" s="1346"/>
      <c r="AK667" s="1346"/>
      <c r="AZ667" s="34"/>
      <c r="BA667" s="34"/>
      <c r="BB667" s="34"/>
      <c r="BC667" s="34"/>
      <c r="BD667" s="34"/>
      <c r="BE667" s="34"/>
      <c r="BF667" s="34"/>
      <c r="BG667" s="34"/>
      <c r="BH667" s="34"/>
      <c r="BI667" s="34"/>
      <c r="BJ667" s="34"/>
      <c r="BK667" s="34"/>
      <c r="BL667" s="34"/>
      <c r="BM667" s="34"/>
      <c r="DX667" s="1324" t="e">
        <f t="shared" si="4"/>
        <v>#VALUE!</v>
      </c>
      <c r="DY667" s="1324"/>
      <c r="DZ667" s="1324"/>
      <c r="EA667" s="1324"/>
      <c r="EB667" s="1324"/>
      <c r="EC667" s="1324" t="e">
        <f t="shared" si="5"/>
        <v>#VALUE!</v>
      </c>
      <c r="ED667" s="1324"/>
      <c r="EE667" s="1324"/>
      <c r="EF667" s="1324"/>
      <c r="EG667" s="1324"/>
      <c r="EH667" s="1324" t="e">
        <f t="shared" si="6"/>
        <v>#VALUE!</v>
      </c>
      <c r="EI667" s="1324"/>
      <c r="EJ667" s="1324"/>
      <c r="EK667" s="1324"/>
      <c r="EL667" s="1324"/>
      <c r="EM667" s="1324" t="e">
        <f t="shared" si="7"/>
        <v>#VALUE!</v>
      </c>
      <c r="EN667" s="1324"/>
      <c r="EO667" s="1324"/>
      <c r="EP667" s="1324"/>
      <c r="EQ667" s="1324"/>
      <c r="ER667" s="1324" t="e">
        <f t="shared" si="8"/>
        <v>#VALUE!</v>
      </c>
      <c r="ES667" s="1324"/>
      <c r="ET667" s="1324"/>
      <c r="EU667" s="1324"/>
      <c r="EV667" s="1324"/>
      <c r="EW667" s="1324" t="e">
        <f t="shared" si="9"/>
        <v>#VALUE!</v>
      </c>
      <c r="EX667" s="1324"/>
      <c r="EY667" s="1324"/>
      <c r="EZ667" s="1324"/>
      <c r="FA667" s="1324"/>
    </row>
    <row r="668" spans="1:157" ht="12.95" customHeight="1">
      <c r="A668" s="22"/>
      <c r="B668" t="s">
        <v>85</v>
      </c>
      <c r="G668" s="1272" t="s">
        <v>2680</v>
      </c>
      <c r="H668" s="1272"/>
      <c r="I668" s="1272"/>
      <c r="J668" s="1272"/>
      <c r="K668" s="1272"/>
      <c r="L668" s="1272"/>
      <c r="M668" s="1272"/>
      <c r="N668" s="1272"/>
      <c r="O668" s="1272"/>
      <c r="P668" s="1272"/>
      <c r="Q668" s="1272"/>
      <c r="R668" s="1272"/>
      <c r="T668" s="22"/>
      <c r="U668" t="s">
        <v>85</v>
      </c>
      <c r="Z668" s="1272"/>
      <c r="AA668" s="1272"/>
      <c r="AB668" s="1272"/>
      <c r="AC668" s="1272"/>
      <c r="AD668" s="1272"/>
      <c r="AE668" s="1272"/>
      <c r="AF668" s="1272"/>
      <c r="AG668" s="1272"/>
      <c r="AH668" s="1272"/>
      <c r="AI668" s="1272"/>
      <c r="AJ668" s="1272"/>
      <c r="AK668" s="1272"/>
      <c r="AZ668" s="34"/>
      <c r="BA668" s="34"/>
      <c r="BB668" s="34"/>
      <c r="BC668" s="34"/>
      <c r="BD668" s="34"/>
      <c r="BE668" s="34"/>
      <c r="BF668" s="34"/>
      <c r="BG668" s="34"/>
      <c r="BH668" s="34"/>
      <c r="BI668" s="34"/>
      <c r="BJ668" s="34"/>
      <c r="BK668" s="34"/>
      <c r="BL668" s="34"/>
      <c r="BM668" s="34"/>
      <c r="DX668" s="1324" t="e">
        <f t="shared" si="4"/>
        <v>#VALUE!</v>
      </c>
      <c r="DY668" s="1324"/>
      <c r="DZ668" s="1324"/>
      <c r="EA668" s="1324"/>
      <c r="EB668" s="1324"/>
      <c r="EC668" s="1324" t="e">
        <f t="shared" si="5"/>
        <v>#VALUE!</v>
      </c>
      <c r="ED668" s="1324"/>
      <c r="EE668" s="1324"/>
      <c r="EF668" s="1324"/>
      <c r="EG668" s="1324"/>
      <c r="EH668" s="1324" t="e">
        <f t="shared" si="6"/>
        <v>#VALUE!</v>
      </c>
      <c r="EI668" s="1324"/>
      <c r="EJ668" s="1324"/>
      <c r="EK668" s="1324"/>
      <c r="EL668" s="1324"/>
      <c r="EM668" s="1324" t="e">
        <f t="shared" si="7"/>
        <v>#VALUE!</v>
      </c>
      <c r="EN668" s="1324"/>
      <c r="EO668" s="1324"/>
      <c r="EP668" s="1324"/>
      <c r="EQ668" s="1324"/>
      <c r="ER668" s="1324" t="e">
        <f t="shared" si="8"/>
        <v>#VALUE!</v>
      </c>
      <c r="ES668" s="1324"/>
      <c r="ET668" s="1324"/>
      <c r="EU668" s="1324"/>
      <c r="EV668" s="1324"/>
      <c r="EW668" s="1324" t="e">
        <f t="shared" si="9"/>
        <v>#VALUE!</v>
      </c>
      <c r="EX668" s="1324"/>
      <c r="EY668" s="1324"/>
      <c r="EZ668" s="1324"/>
      <c r="FA668" s="1324"/>
    </row>
    <row r="669" spans="1:157" ht="12.95" customHeight="1">
      <c r="A669" s="22"/>
      <c r="B669" t="s">
        <v>580</v>
      </c>
      <c r="G669" s="1272" t="s">
        <v>2663</v>
      </c>
      <c r="H669" s="1272"/>
      <c r="I669" s="1272"/>
      <c r="J669" s="1272"/>
      <c r="K669" s="1272"/>
      <c r="L669" s="1272"/>
      <c r="M669" s="1272"/>
      <c r="N669" s="1272"/>
      <c r="O669" s="1272"/>
      <c r="P669" s="1272"/>
      <c r="Q669" s="1272"/>
      <c r="R669" s="1272"/>
      <c r="T669" s="22"/>
      <c r="U669" t="s">
        <v>580</v>
      </c>
      <c r="Z669" s="1271"/>
      <c r="AA669" s="1271"/>
      <c r="AB669" s="1271"/>
      <c r="AC669" s="1271"/>
      <c r="AD669" s="1271"/>
      <c r="AE669" s="1271"/>
      <c r="AF669" s="1271"/>
      <c r="AG669" s="1271"/>
      <c r="AH669" s="1271"/>
      <c r="AI669" s="1271"/>
      <c r="AJ669" s="1271"/>
      <c r="AK669" s="1271"/>
      <c r="AZ669" s="34"/>
      <c r="BA669" s="34"/>
      <c r="BB669" s="34"/>
      <c r="BC669" s="34"/>
      <c r="BD669" s="34"/>
      <c r="BE669" s="34"/>
      <c r="BF669" s="34"/>
      <c r="BG669" s="34"/>
      <c r="BH669" s="34"/>
      <c r="BI669" s="34"/>
      <c r="BJ669" s="34"/>
      <c r="BK669" s="34"/>
      <c r="BL669" s="34"/>
      <c r="BM669" s="34"/>
      <c r="DX669" s="1324" t="e">
        <f t="shared" si="4"/>
        <v>#VALUE!</v>
      </c>
      <c r="DY669" s="1324"/>
      <c r="DZ669" s="1324"/>
      <c r="EA669" s="1324"/>
      <c r="EB669" s="1324"/>
      <c r="EC669" s="1324" t="e">
        <f t="shared" si="5"/>
        <v>#VALUE!</v>
      </c>
      <c r="ED669" s="1324"/>
      <c r="EE669" s="1324"/>
      <c r="EF669" s="1324"/>
      <c r="EG669" s="1324"/>
      <c r="EH669" s="1324" t="e">
        <f t="shared" si="6"/>
        <v>#VALUE!</v>
      </c>
      <c r="EI669" s="1324"/>
      <c r="EJ669" s="1324"/>
      <c r="EK669" s="1324"/>
      <c r="EL669" s="1324"/>
      <c r="EM669" s="1324" t="e">
        <f t="shared" si="7"/>
        <v>#VALUE!</v>
      </c>
      <c r="EN669" s="1324"/>
      <c r="EO669" s="1324"/>
      <c r="EP669" s="1324"/>
      <c r="EQ669" s="1324"/>
      <c r="ER669" s="1324" t="e">
        <f t="shared" si="8"/>
        <v>#VALUE!</v>
      </c>
      <c r="ES669" s="1324"/>
      <c r="ET669" s="1324"/>
      <c r="EU669" s="1324"/>
      <c r="EV669" s="1324"/>
      <c r="EW669" s="1324" t="e">
        <f t="shared" si="9"/>
        <v>#VALUE!</v>
      </c>
      <c r="EX669" s="1324"/>
      <c r="EY669" s="1324"/>
      <c r="EZ669" s="1324"/>
      <c r="FA669" s="1324"/>
    </row>
    <row r="670" spans="1:157" ht="12.95" customHeight="1">
      <c r="A670" s="22"/>
      <c r="B670" t="s">
        <v>17</v>
      </c>
      <c r="G670" s="1272" t="s">
        <v>2770</v>
      </c>
      <c r="H670" s="1272"/>
      <c r="I670" s="1272"/>
      <c r="J670" s="1272"/>
      <c r="K670" s="1272"/>
      <c r="L670" s="1272"/>
      <c r="M670" s="1272"/>
      <c r="N670" s="1272"/>
      <c r="O670" s="1272"/>
      <c r="P670" s="1272"/>
      <c r="Q670" s="1272"/>
      <c r="R670" s="1272"/>
      <c r="T670" s="22"/>
      <c r="U670" t="s">
        <v>17</v>
      </c>
      <c r="Z670" s="1271"/>
      <c r="AA670" s="1271"/>
      <c r="AB670" s="1271"/>
      <c r="AC670" s="1271"/>
      <c r="AD670" s="1271"/>
      <c r="AE670" s="1271"/>
      <c r="AF670" s="1271"/>
      <c r="AG670" s="1271"/>
      <c r="AH670" s="1271"/>
      <c r="AI670" s="1271"/>
      <c r="AJ670" s="1271"/>
      <c r="AK670" s="127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24" t="e">
        <f t="shared" si="4"/>
        <v>#VALUE!</v>
      </c>
      <c r="DY670" s="1324"/>
      <c r="DZ670" s="1324"/>
      <c r="EA670" s="1324"/>
      <c r="EB670" s="1324"/>
      <c r="EC670" s="1324" t="e">
        <f t="shared" si="5"/>
        <v>#VALUE!</v>
      </c>
      <c r="ED670" s="1324"/>
      <c r="EE670" s="1324"/>
      <c r="EF670" s="1324"/>
      <c r="EG670" s="1324"/>
      <c r="EH670" s="1324" t="e">
        <f t="shared" si="6"/>
        <v>#VALUE!</v>
      </c>
      <c r="EI670" s="1324"/>
      <c r="EJ670" s="1324"/>
      <c r="EK670" s="1324"/>
      <c r="EL670" s="1324"/>
      <c r="EM670" s="1324" t="e">
        <f t="shared" si="7"/>
        <v>#VALUE!</v>
      </c>
      <c r="EN670" s="1324"/>
      <c r="EO670" s="1324"/>
      <c r="EP670" s="1324"/>
      <c r="EQ670" s="1324"/>
      <c r="ER670" s="1324" t="e">
        <f t="shared" si="8"/>
        <v>#VALUE!</v>
      </c>
      <c r="ES670" s="1324"/>
      <c r="ET670" s="1324"/>
      <c r="EU670" s="1324"/>
      <c r="EV670" s="1324"/>
      <c r="EW670" s="1324" t="e">
        <f t="shared" si="9"/>
        <v>#VALUE!</v>
      </c>
      <c r="EX670" s="1324"/>
      <c r="EY670" s="1324"/>
      <c r="EZ670" s="1324"/>
      <c r="FA670" s="1324"/>
    </row>
    <row r="671" spans="1:157" ht="12.95" customHeight="1">
      <c r="A671" s="22"/>
      <c r="B671" t="s">
        <v>316</v>
      </c>
      <c r="G671" s="1280" t="s">
        <v>2658</v>
      </c>
      <c r="H671" s="1274"/>
      <c r="I671" s="1274"/>
      <c r="J671" s="1274"/>
      <c r="K671" s="1274"/>
      <c r="L671" s="1274"/>
      <c r="O671" s="33" t="s">
        <v>206</v>
      </c>
      <c r="P671" s="1345"/>
      <c r="Q671" s="1345"/>
      <c r="R671" s="1345"/>
      <c r="T671" s="22"/>
      <c r="U671" t="s">
        <v>316</v>
      </c>
      <c r="Z671" s="1274"/>
      <c r="AA671" s="1274"/>
      <c r="AB671" s="1274"/>
      <c r="AC671" s="1274"/>
      <c r="AD671" s="1274"/>
      <c r="AE671" s="1274"/>
      <c r="AH671" s="33" t="s">
        <v>206</v>
      </c>
      <c r="AI671" s="1345"/>
      <c r="AJ671" s="1345"/>
      <c r="AK671" s="134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24" t="e">
        <f t="shared" si="4"/>
        <v>#VALUE!</v>
      </c>
      <c r="DY671" s="1324"/>
      <c r="DZ671" s="1324"/>
      <c r="EA671" s="1324"/>
      <c r="EB671" s="1324"/>
      <c r="EC671" s="1324" t="e">
        <f t="shared" si="5"/>
        <v>#VALUE!</v>
      </c>
      <c r="ED671" s="1324"/>
      <c r="EE671" s="1324"/>
      <c r="EF671" s="1324"/>
      <c r="EG671" s="1324"/>
      <c r="EH671" s="1324" t="e">
        <f t="shared" si="6"/>
        <v>#VALUE!</v>
      </c>
      <c r="EI671" s="1324"/>
      <c r="EJ671" s="1324"/>
      <c r="EK671" s="1324"/>
      <c r="EL671" s="1324"/>
      <c r="EM671" s="1324" t="e">
        <f t="shared" si="7"/>
        <v>#VALUE!</v>
      </c>
      <c r="EN671" s="1324"/>
      <c r="EO671" s="1324"/>
      <c r="EP671" s="1324"/>
      <c r="EQ671" s="1324"/>
      <c r="ER671" s="1324" t="e">
        <f t="shared" si="8"/>
        <v>#VALUE!</v>
      </c>
      <c r="ES671" s="1324"/>
      <c r="ET671" s="1324"/>
      <c r="EU671" s="1324"/>
      <c r="EV671" s="1324"/>
      <c r="EW671" s="1324" t="e">
        <f t="shared" si="9"/>
        <v>#VALUE!</v>
      </c>
      <c r="EX671" s="1324"/>
      <c r="EY671" s="1324"/>
      <c r="EZ671" s="1324"/>
      <c r="FA671" s="1324"/>
    </row>
    <row r="672" spans="1:157" ht="12.95" customHeight="1">
      <c r="A672" s="22"/>
      <c r="B672" t="s">
        <v>18</v>
      </c>
      <c r="H672" s="1272" t="s">
        <v>2261</v>
      </c>
      <c r="I672" s="1272"/>
      <c r="J672" s="1272"/>
      <c r="K672" s="1272"/>
      <c r="L672" s="1272"/>
      <c r="M672" s="1272"/>
      <c r="N672" s="1272"/>
      <c r="O672" s="1272"/>
      <c r="P672" s="1272"/>
      <c r="Q672" s="1272"/>
      <c r="R672" s="1272"/>
      <c r="T672" s="22"/>
      <c r="U672" t="s">
        <v>18</v>
      </c>
      <c r="AA672" s="1272"/>
      <c r="AB672" s="1272"/>
      <c r="AC672" s="1272"/>
      <c r="AD672" s="1272"/>
      <c r="AE672" s="1272"/>
      <c r="AF672" s="1272"/>
      <c r="AG672" s="1272"/>
      <c r="AH672" s="1272"/>
      <c r="AI672" s="1272"/>
      <c r="AJ672" s="1272"/>
      <c r="AK672" s="127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24" t="e">
        <f t="shared" si="4"/>
        <v>#VALUE!</v>
      </c>
      <c r="DY672" s="1324"/>
      <c r="DZ672" s="1324"/>
      <c r="EA672" s="1324"/>
      <c r="EB672" s="1324"/>
      <c r="EC672" s="1324" t="e">
        <f t="shared" si="5"/>
        <v>#VALUE!</v>
      </c>
      <c r="ED672" s="1324"/>
      <c r="EE672" s="1324"/>
      <c r="EF672" s="1324"/>
      <c r="EG672" s="1324"/>
      <c r="EH672" s="1324" t="e">
        <f t="shared" si="6"/>
        <v>#VALUE!</v>
      </c>
      <c r="EI672" s="1324"/>
      <c r="EJ672" s="1324"/>
      <c r="EK672" s="1324"/>
      <c r="EL672" s="1324"/>
      <c r="EM672" s="1324" t="e">
        <f t="shared" si="7"/>
        <v>#VALUE!</v>
      </c>
      <c r="EN672" s="1324"/>
      <c r="EO672" s="1324"/>
      <c r="EP672" s="1324"/>
      <c r="EQ672" s="1324"/>
      <c r="ER672" s="1324" t="e">
        <f t="shared" si="8"/>
        <v>#VALUE!</v>
      </c>
      <c r="ES672" s="1324"/>
      <c r="ET672" s="1324"/>
      <c r="EU672" s="1324"/>
      <c r="EV672" s="1324"/>
      <c r="EW672" s="1324" t="e">
        <f t="shared" si="9"/>
        <v>#VALUE!</v>
      </c>
      <c r="EX672" s="1324"/>
      <c r="EY672" s="1324"/>
      <c r="EZ672" s="1324"/>
      <c r="FA672" s="1324"/>
    </row>
    <row r="673" spans="1:157" ht="12.95" customHeight="1">
      <c r="A673" s="22"/>
      <c r="B673" t="s">
        <v>20</v>
      </c>
      <c r="N673" s="1269" t="s">
        <v>545</v>
      </c>
      <c r="O673" s="1269"/>
      <c r="T673" s="22"/>
      <c r="U673" t="s">
        <v>20</v>
      </c>
      <c r="AG673" s="1269" t="s">
        <v>669</v>
      </c>
      <c r="AH673" s="126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24" t="e">
        <f t="shared" si="4"/>
        <v>#VALUE!</v>
      </c>
      <c r="DY673" s="1324"/>
      <c r="DZ673" s="1324"/>
      <c r="EA673" s="1324"/>
      <c r="EB673" s="1324"/>
      <c r="EC673" s="1324" t="e">
        <f t="shared" si="5"/>
        <v>#VALUE!</v>
      </c>
      <c r="ED673" s="1324"/>
      <c r="EE673" s="1324"/>
      <c r="EF673" s="1324"/>
      <c r="EG673" s="1324"/>
      <c r="EH673" s="1324" t="e">
        <f t="shared" si="6"/>
        <v>#VALUE!</v>
      </c>
      <c r="EI673" s="1324"/>
      <c r="EJ673" s="1324"/>
      <c r="EK673" s="1324"/>
      <c r="EL673" s="1324"/>
      <c r="EM673" s="1324" t="e">
        <f t="shared" si="7"/>
        <v>#VALUE!</v>
      </c>
      <c r="EN673" s="1324"/>
      <c r="EO673" s="1324"/>
      <c r="EP673" s="1324"/>
      <c r="EQ673" s="1324"/>
      <c r="ER673" s="1324" t="e">
        <f t="shared" si="8"/>
        <v>#VALUE!</v>
      </c>
      <c r="ES673" s="1324"/>
      <c r="ET673" s="1324"/>
      <c r="EU673" s="1324"/>
      <c r="EV673" s="1324"/>
      <c r="EW673" s="1324" t="e">
        <f t="shared" si="9"/>
        <v>#VALUE!</v>
      </c>
      <c r="EX673" s="1324"/>
      <c r="EY673" s="1324"/>
      <c r="EZ673" s="1324"/>
      <c r="FA673" s="1324"/>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24" t="e">
        <f t="shared" si="4"/>
        <v>#VALUE!</v>
      </c>
      <c r="DY674" s="1324"/>
      <c r="DZ674" s="1324"/>
      <c r="EA674" s="1324"/>
      <c r="EB674" s="1324"/>
      <c r="EC674" s="1324" t="e">
        <f t="shared" si="5"/>
        <v>#VALUE!</v>
      </c>
      <c r="ED674" s="1324"/>
      <c r="EE674" s="1324"/>
      <c r="EF674" s="1324"/>
      <c r="EG674" s="1324"/>
      <c r="EH674" s="1324" t="e">
        <f t="shared" si="6"/>
        <v>#VALUE!</v>
      </c>
      <c r="EI674" s="1324"/>
      <c r="EJ674" s="1324"/>
      <c r="EK674" s="1324"/>
      <c r="EL674" s="1324"/>
      <c r="EM674" s="1324" t="e">
        <f t="shared" si="7"/>
        <v>#VALUE!</v>
      </c>
      <c r="EN674" s="1324"/>
      <c r="EO674" s="1324"/>
      <c r="EP674" s="1324"/>
      <c r="EQ674" s="1324"/>
      <c r="ER674" s="1324" t="e">
        <f t="shared" si="8"/>
        <v>#VALUE!</v>
      </c>
      <c r="ES674" s="1324"/>
      <c r="ET674" s="1324"/>
      <c r="EU674" s="1324"/>
      <c r="EV674" s="1324"/>
      <c r="EW674" s="1324" t="e">
        <f t="shared" si="9"/>
        <v>#VALUE!</v>
      </c>
      <c r="EX674" s="1324"/>
      <c r="EY674" s="1324"/>
      <c r="EZ674" s="1324"/>
      <c r="FA674" s="1324"/>
    </row>
    <row r="675" spans="1:157" ht="12.95" customHeight="1">
      <c r="A675" s="55" t="s">
        <v>455</v>
      </c>
      <c r="B675" t="s">
        <v>463</v>
      </c>
      <c r="G675" s="1346">
        <f>C641</f>
        <v>0</v>
      </c>
      <c r="H675" s="1346"/>
      <c r="I675" s="1346"/>
      <c r="J675" s="1346"/>
      <c r="K675" s="1346"/>
      <c r="L675" s="1346"/>
      <c r="M675" s="1346"/>
      <c r="N675" s="1346"/>
      <c r="O675" s="1346"/>
      <c r="P675" s="1346"/>
      <c r="Q675" s="1346"/>
      <c r="R675" s="1346"/>
      <c r="T675" s="55" t="s">
        <v>456</v>
      </c>
      <c r="U675" t="s">
        <v>463</v>
      </c>
      <c r="Z675" s="1346">
        <f>C642</f>
        <v>0</v>
      </c>
      <c r="AA675" s="1346"/>
      <c r="AB675" s="1346"/>
      <c r="AC675" s="1346"/>
      <c r="AD675" s="1346"/>
      <c r="AE675" s="1346"/>
      <c r="AF675" s="1346"/>
      <c r="AG675" s="1346"/>
      <c r="AH675" s="1346"/>
      <c r="AI675" s="1346"/>
      <c r="AJ675" s="1346"/>
      <c r="AK675" s="134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24" t="e">
        <f t="shared" si="4"/>
        <v>#VALUE!</v>
      </c>
      <c r="DY675" s="1324"/>
      <c r="DZ675" s="1324"/>
      <c r="EA675" s="1324"/>
      <c r="EB675" s="1324"/>
      <c r="EC675" s="1324" t="e">
        <f t="shared" si="5"/>
        <v>#VALUE!</v>
      </c>
      <c r="ED675" s="1324"/>
      <c r="EE675" s="1324"/>
      <c r="EF675" s="1324"/>
      <c r="EG675" s="1324"/>
      <c r="EH675" s="1324" t="e">
        <f t="shared" si="6"/>
        <v>#VALUE!</v>
      </c>
      <c r="EI675" s="1324"/>
      <c r="EJ675" s="1324"/>
      <c r="EK675" s="1324"/>
      <c r="EL675" s="1324"/>
      <c r="EM675" s="1324" t="e">
        <f t="shared" si="7"/>
        <v>#VALUE!</v>
      </c>
      <c r="EN675" s="1324"/>
      <c r="EO675" s="1324"/>
      <c r="EP675" s="1324"/>
      <c r="EQ675" s="1324"/>
      <c r="ER675" s="1324" t="e">
        <f t="shared" si="8"/>
        <v>#VALUE!</v>
      </c>
      <c r="ES675" s="1324"/>
      <c r="ET675" s="1324"/>
      <c r="EU675" s="1324"/>
      <c r="EV675" s="1324"/>
      <c r="EW675" s="1324" t="e">
        <f t="shared" si="9"/>
        <v>#VALUE!</v>
      </c>
      <c r="EX675" s="1324"/>
      <c r="EY675" s="1324"/>
      <c r="EZ675" s="1324"/>
      <c r="FA675" s="1324"/>
    </row>
    <row r="676" spans="1:157" ht="12.95" customHeight="1">
      <c r="A676" s="22"/>
      <c r="B676" t="s">
        <v>85</v>
      </c>
      <c r="G676" s="1272"/>
      <c r="H676" s="1272"/>
      <c r="I676" s="1272"/>
      <c r="J676" s="1272"/>
      <c r="K676" s="1272"/>
      <c r="L676" s="1272"/>
      <c r="M676" s="1272"/>
      <c r="N676" s="1272"/>
      <c r="O676" s="1272"/>
      <c r="P676" s="1272"/>
      <c r="Q676" s="1272"/>
      <c r="R676" s="1272"/>
      <c r="T676" s="22"/>
      <c r="U676" t="s">
        <v>85</v>
      </c>
      <c r="Z676" s="1272"/>
      <c r="AA676" s="1272"/>
      <c r="AB676" s="1272"/>
      <c r="AC676" s="1272"/>
      <c r="AD676" s="1272"/>
      <c r="AE676" s="1272"/>
      <c r="AF676" s="1272"/>
      <c r="AG676" s="1272"/>
      <c r="AH676" s="1272"/>
      <c r="AI676" s="1272"/>
      <c r="AJ676" s="1272"/>
      <c r="AK676" s="127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24" t="e">
        <f t="shared" si="4"/>
        <v>#VALUE!</v>
      </c>
      <c r="DY676" s="1324"/>
      <c r="DZ676" s="1324"/>
      <c r="EA676" s="1324"/>
      <c r="EB676" s="1324"/>
      <c r="EC676" s="1324" t="e">
        <f t="shared" si="5"/>
        <v>#VALUE!</v>
      </c>
      <c r="ED676" s="1324"/>
      <c r="EE676" s="1324"/>
      <c r="EF676" s="1324"/>
      <c r="EG676" s="1324"/>
      <c r="EH676" s="1324" t="e">
        <f t="shared" si="6"/>
        <v>#VALUE!</v>
      </c>
      <c r="EI676" s="1324"/>
      <c r="EJ676" s="1324"/>
      <c r="EK676" s="1324"/>
      <c r="EL676" s="1324"/>
      <c r="EM676" s="1324" t="e">
        <f t="shared" si="7"/>
        <v>#VALUE!</v>
      </c>
      <c r="EN676" s="1324"/>
      <c r="EO676" s="1324"/>
      <c r="EP676" s="1324"/>
      <c r="EQ676" s="1324"/>
      <c r="ER676" s="1324" t="e">
        <f t="shared" si="8"/>
        <v>#VALUE!</v>
      </c>
      <c r="ES676" s="1324"/>
      <c r="ET676" s="1324"/>
      <c r="EU676" s="1324"/>
      <c r="EV676" s="1324"/>
      <c r="EW676" s="1324" t="e">
        <f t="shared" si="9"/>
        <v>#VALUE!</v>
      </c>
      <c r="EX676" s="1324"/>
      <c r="EY676" s="1324"/>
      <c r="EZ676" s="1324"/>
      <c r="FA676" s="1324"/>
    </row>
    <row r="677" spans="1:157" ht="12.95" customHeight="1">
      <c r="A677" s="22"/>
      <c r="B677" t="s">
        <v>580</v>
      </c>
      <c r="G677" s="1272"/>
      <c r="H677" s="1272"/>
      <c r="I677" s="1272"/>
      <c r="J677" s="1272"/>
      <c r="K677" s="1272"/>
      <c r="L677" s="1272"/>
      <c r="M677" s="1272"/>
      <c r="N677" s="1272"/>
      <c r="O677" s="1272"/>
      <c r="P677" s="1272"/>
      <c r="Q677" s="1272"/>
      <c r="R677" s="1272"/>
      <c r="T677" s="22"/>
      <c r="U677" t="s">
        <v>580</v>
      </c>
      <c r="Z677" s="1271"/>
      <c r="AA677" s="1271"/>
      <c r="AB677" s="1271"/>
      <c r="AC677" s="1271"/>
      <c r="AD677" s="1271"/>
      <c r="AE677" s="1271"/>
      <c r="AF677" s="1271"/>
      <c r="AG677" s="1271"/>
      <c r="AH677" s="1271"/>
      <c r="AI677" s="1271"/>
      <c r="AJ677" s="1271"/>
      <c r="AK677" s="127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24" t="e">
        <f t="shared" si="4"/>
        <v>#VALUE!</v>
      </c>
      <c r="DY677" s="1324"/>
      <c r="DZ677" s="1324"/>
      <c r="EA677" s="1324"/>
      <c r="EB677" s="1324"/>
      <c r="EC677" s="1324" t="e">
        <f t="shared" si="5"/>
        <v>#VALUE!</v>
      </c>
      <c r="ED677" s="1324"/>
      <c r="EE677" s="1324"/>
      <c r="EF677" s="1324"/>
      <c r="EG677" s="1324"/>
      <c r="EH677" s="1324" t="e">
        <f t="shared" si="6"/>
        <v>#VALUE!</v>
      </c>
      <c r="EI677" s="1324"/>
      <c r="EJ677" s="1324"/>
      <c r="EK677" s="1324"/>
      <c r="EL677" s="1324"/>
      <c r="EM677" s="1324" t="e">
        <f t="shared" si="7"/>
        <v>#VALUE!</v>
      </c>
      <c r="EN677" s="1324"/>
      <c r="EO677" s="1324"/>
      <c r="EP677" s="1324"/>
      <c r="EQ677" s="1324"/>
      <c r="ER677" s="1324" t="e">
        <f t="shared" si="8"/>
        <v>#VALUE!</v>
      </c>
      <c r="ES677" s="1324"/>
      <c r="ET677" s="1324"/>
      <c r="EU677" s="1324"/>
      <c r="EV677" s="1324"/>
      <c r="EW677" s="1324" t="e">
        <f t="shared" si="9"/>
        <v>#VALUE!</v>
      </c>
      <c r="EX677" s="1324"/>
      <c r="EY677" s="1324"/>
      <c r="EZ677" s="1324"/>
      <c r="FA677" s="1324"/>
    </row>
    <row r="678" spans="1:157" ht="12.95" customHeight="1">
      <c r="A678" s="22"/>
      <c r="B678" t="s">
        <v>17</v>
      </c>
      <c r="G678" s="1272"/>
      <c r="H678" s="1272"/>
      <c r="I678" s="1272"/>
      <c r="J678" s="1272"/>
      <c r="K678" s="1272"/>
      <c r="L678" s="1272"/>
      <c r="M678" s="1272"/>
      <c r="N678" s="1272"/>
      <c r="O678" s="1272"/>
      <c r="P678" s="1272"/>
      <c r="Q678" s="1272"/>
      <c r="R678" s="1272"/>
      <c r="T678" s="22"/>
      <c r="U678" t="s">
        <v>17</v>
      </c>
      <c r="Z678" s="1271"/>
      <c r="AA678" s="1271"/>
      <c r="AB678" s="1271"/>
      <c r="AC678" s="1271"/>
      <c r="AD678" s="1271"/>
      <c r="AE678" s="1271"/>
      <c r="AF678" s="1271"/>
      <c r="AG678" s="1271"/>
      <c r="AH678" s="1271"/>
      <c r="AI678" s="1271"/>
      <c r="AJ678" s="1271"/>
      <c r="AK678" s="127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24">
        <f>SUMIF(DX643:EB677,"&gt;0")</f>
        <v>0</v>
      </c>
      <c r="DY678" s="1324"/>
      <c r="DZ678" s="1324"/>
      <c r="EA678" s="1324"/>
      <c r="EB678" s="1324"/>
      <c r="EC678" s="1324">
        <f>SUMIF(EC643:EG677,"&gt;0")</f>
        <v>1288.2152777777778</v>
      </c>
      <c r="ED678" s="1324"/>
      <c r="EE678" s="1324"/>
      <c r="EF678" s="1324"/>
      <c r="EG678" s="1324"/>
      <c r="EH678" s="1324">
        <f>SUMIF(EH643:EL677,"&gt;0")</f>
        <v>1484.6578947368421</v>
      </c>
      <c r="EI678" s="1324"/>
      <c r="EJ678" s="1324"/>
      <c r="EK678" s="1324"/>
      <c r="EL678" s="1324"/>
      <c r="EM678" s="1324">
        <f>SUMIF(EM643:EQ677,"&gt;0")</f>
        <v>0</v>
      </c>
      <c r="EN678" s="1324"/>
      <c r="EO678" s="1324"/>
      <c r="EP678" s="1324"/>
      <c r="EQ678" s="1324"/>
      <c r="ER678" s="1324">
        <f>SUMIF(ER643:EV677,"&gt;0")</f>
        <v>0</v>
      </c>
      <c r="ES678" s="1324"/>
      <c r="ET678" s="1324"/>
      <c r="EU678" s="1324"/>
      <c r="EV678" s="1324"/>
      <c r="EW678" s="1324">
        <f>SUMIF(EW643:FA677,"&gt;0")</f>
        <v>0</v>
      </c>
      <c r="EX678" s="1324"/>
      <c r="EY678" s="1324"/>
      <c r="EZ678" s="1324"/>
      <c r="FA678" s="1324"/>
    </row>
    <row r="679" spans="1:157" ht="12.95" customHeight="1">
      <c r="A679" s="22"/>
      <c r="B679" t="s">
        <v>316</v>
      </c>
      <c r="G679" s="1274"/>
      <c r="H679" s="1274"/>
      <c r="I679" s="1274"/>
      <c r="J679" s="1274"/>
      <c r="K679" s="1274"/>
      <c r="L679" s="1274"/>
      <c r="O679" s="33" t="s">
        <v>206</v>
      </c>
      <c r="P679" s="1345"/>
      <c r="Q679" s="1345"/>
      <c r="R679" s="1345"/>
      <c r="T679" s="22"/>
      <c r="U679" t="s">
        <v>316</v>
      </c>
      <c r="Z679" s="1274"/>
      <c r="AA679" s="1274"/>
      <c r="AB679" s="1274"/>
      <c r="AC679" s="1274"/>
      <c r="AD679" s="1274"/>
      <c r="AE679" s="1274"/>
      <c r="AH679" s="33" t="s">
        <v>206</v>
      </c>
      <c r="AI679" s="1345"/>
      <c r="AJ679" s="1345"/>
      <c r="AK679" s="134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272"/>
      <c r="I680" s="1272"/>
      <c r="J680" s="1272"/>
      <c r="K680" s="1272"/>
      <c r="L680" s="1272"/>
      <c r="M680" s="1272"/>
      <c r="N680" s="1272"/>
      <c r="O680" s="1272"/>
      <c r="P680" s="1272"/>
      <c r="Q680" s="1272"/>
      <c r="R680" s="1272"/>
      <c r="T680" s="22"/>
      <c r="U680" t="s">
        <v>18</v>
      </c>
      <c r="AA680" s="1272"/>
      <c r="AB680" s="1272"/>
      <c r="AC680" s="1272"/>
      <c r="AD680" s="1272"/>
      <c r="AE680" s="1272"/>
      <c r="AF680" s="1272"/>
      <c r="AG680" s="1272"/>
      <c r="AH680" s="1272"/>
      <c r="AI680" s="1272"/>
      <c r="AJ680" s="1272"/>
      <c r="AK680" s="127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269" t="s">
        <v>669</v>
      </c>
      <c r="O681" s="1269"/>
      <c r="T681" s="22"/>
      <c r="U681" t="s">
        <v>20</v>
      </c>
      <c r="AG681" s="1269" t="s">
        <v>669</v>
      </c>
      <c r="AH681" s="1269"/>
      <c r="AZ681" s="3"/>
    </row>
    <row r="682" spans="1:157" ht="12.95" customHeight="1">
      <c r="A682" s="22"/>
      <c r="T682" s="22"/>
      <c r="AZ682" s="3"/>
    </row>
    <row r="683" spans="1:157" ht="12.95" customHeight="1">
      <c r="A683" s="55" t="s">
        <v>461</v>
      </c>
      <c r="B683" t="s">
        <v>463</v>
      </c>
      <c r="G683" s="1346">
        <f>C643</f>
        <v>0</v>
      </c>
      <c r="H683" s="1346"/>
      <c r="I683" s="1346"/>
      <c r="J683" s="1346"/>
      <c r="K683" s="1346"/>
      <c r="L683" s="1346"/>
      <c r="M683" s="1346"/>
      <c r="N683" s="1346"/>
      <c r="O683" s="1346"/>
      <c r="P683" s="1346"/>
      <c r="Q683" s="1346"/>
      <c r="R683" s="1346"/>
      <c r="T683" s="55" t="s">
        <v>646</v>
      </c>
      <c r="U683" t="s">
        <v>463</v>
      </c>
      <c r="Z683" s="1346">
        <f>C644</f>
        <v>0</v>
      </c>
      <c r="AA683" s="1346"/>
      <c r="AB683" s="1346"/>
      <c r="AC683" s="1346"/>
      <c r="AD683" s="1346"/>
      <c r="AE683" s="1346"/>
      <c r="AF683" s="1346"/>
      <c r="AG683" s="1346"/>
      <c r="AH683" s="1346"/>
      <c r="AI683" s="1346"/>
      <c r="AJ683" s="1346"/>
      <c r="AK683" s="1346"/>
      <c r="AZ683" s="3"/>
    </row>
    <row r="684" spans="1:157" ht="12.95" customHeight="1">
      <c r="A684" s="22"/>
      <c r="B684" t="s">
        <v>85</v>
      </c>
      <c r="G684" s="1272"/>
      <c r="H684" s="1272"/>
      <c r="I684" s="1272"/>
      <c r="J684" s="1272"/>
      <c r="K684" s="1272"/>
      <c r="L684" s="1272"/>
      <c r="M684" s="1272"/>
      <c r="N684" s="1272"/>
      <c r="O684" s="1272"/>
      <c r="P684" s="1272"/>
      <c r="Q684" s="1272"/>
      <c r="R684" s="1272"/>
      <c r="T684" s="22"/>
      <c r="U684" t="s">
        <v>85</v>
      </c>
      <c r="Z684" s="1272"/>
      <c r="AA684" s="1272"/>
      <c r="AB684" s="1272"/>
      <c r="AC684" s="1272"/>
      <c r="AD684" s="1272"/>
      <c r="AE684" s="1272"/>
      <c r="AF684" s="1272"/>
      <c r="AG684" s="1272"/>
      <c r="AH684" s="1272"/>
      <c r="AI684" s="1272"/>
      <c r="AJ684" s="1272"/>
      <c r="AK684" s="1272"/>
      <c r="AZ684" s="3"/>
    </row>
    <row r="685" spans="1:157" ht="12.95" customHeight="1">
      <c r="A685" s="22"/>
      <c r="B685" t="s">
        <v>580</v>
      </c>
      <c r="G685" s="1272"/>
      <c r="H685" s="1272"/>
      <c r="I685" s="1272"/>
      <c r="J685" s="1272"/>
      <c r="K685" s="1272"/>
      <c r="L685" s="1272"/>
      <c r="M685" s="1272"/>
      <c r="N685" s="1272"/>
      <c r="O685" s="1272"/>
      <c r="P685" s="1272"/>
      <c r="Q685" s="1272"/>
      <c r="R685" s="1272"/>
      <c r="T685" s="22"/>
      <c r="U685" t="s">
        <v>580</v>
      </c>
      <c r="Z685" s="1271"/>
      <c r="AA685" s="1271"/>
      <c r="AB685" s="1271"/>
      <c r="AC685" s="1271"/>
      <c r="AD685" s="1271"/>
      <c r="AE685" s="1271"/>
      <c r="AF685" s="1271"/>
      <c r="AG685" s="1271"/>
      <c r="AH685" s="1271"/>
      <c r="AI685" s="1271"/>
      <c r="AJ685" s="1271"/>
      <c r="AK685" s="1271"/>
      <c r="AZ685" s="3"/>
    </row>
    <row r="686" spans="1:157" ht="12.95" customHeight="1">
      <c r="A686" s="22"/>
      <c r="B686" t="s">
        <v>17</v>
      </c>
      <c r="G686" s="1272"/>
      <c r="H686" s="1272"/>
      <c r="I686" s="1272"/>
      <c r="J686" s="1272"/>
      <c r="K686" s="1272"/>
      <c r="L686" s="1272"/>
      <c r="M686" s="1272"/>
      <c r="N686" s="1272"/>
      <c r="O686" s="1272"/>
      <c r="P686" s="1272"/>
      <c r="Q686" s="1272"/>
      <c r="R686" s="1272"/>
      <c r="T686" s="22"/>
      <c r="U686" t="s">
        <v>17</v>
      </c>
      <c r="Z686" s="1271"/>
      <c r="AA686" s="1271"/>
      <c r="AB686" s="1271"/>
      <c r="AC686" s="1271"/>
      <c r="AD686" s="1271"/>
      <c r="AE686" s="1271"/>
      <c r="AF686" s="1271"/>
      <c r="AG686" s="1271"/>
      <c r="AH686" s="1271"/>
      <c r="AI686" s="1271"/>
      <c r="AJ686" s="1271"/>
      <c r="AK686" s="1271"/>
      <c r="AZ686" s="3"/>
    </row>
    <row r="687" spans="1:157" ht="12.95" customHeight="1">
      <c r="A687" s="22"/>
      <c r="B687" t="s">
        <v>316</v>
      </c>
      <c r="G687" s="1274"/>
      <c r="H687" s="1274"/>
      <c r="I687" s="1274"/>
      <c r="J687" s="1274"/>
      <c r="K687" s="1274"/>
      <c r="L687" s="1274"/>
      <c r="O687" s="33" t="s">
        <v>206</v>
      </c>
      <c r="P687" s="1345"/>
      <c r="Q687" s="1345"/>
      <c r="R687" s="1345"/>
      <c r="T687" s="22"/>
      <c r="U687" t="s">
        <v>316</v>
      </c>
      <c r="Z687" s="1274"/>
      <c r="AA687" s="1274"/>
      <c r="AB687" s="1274"/>
      <c r="AC687" s="1274"/>
      <c r="AD687" s="1274"/>
      <c r="AE687" s="1274"/>
      <c r="AH687" s="33" t="s">
        <v>206</v>
      </c>
      <c r="AI687" s="1345"/>
      <c r="AJ687" s="1345"/>
      <c r="AK687" s="1345"/>
      <c r="AZ687" s="3"/>
    </row>
    <row r="688" spans="1:157" ht="12.95" customHeight="1">
      <c r="A688" s="22"/>
      <c r="B688" t="s">
        <v>18</v>
      </c>
      <c r="H688" s="1272"/>
      <c r="I688" s="1272"/>
      <c r="J688" s="1272"/>
      <c r="K688" s="1272"/>
      <c r="L688" s="1272"/>
      <c r="M688" s="1272"/>
      <c r="N688" s="1272"/>
      <c r="O688" s="1272"/>
      <c r="P688" s="1272"/>
      <c r="Q688" s="1272"/>
      <c r="R688" s="1272"/>
      <c r="T688" s="22"/>
      <c r="U688" t="s">
        <v>18</v>
      </c>
      <c r="AA688" s="1272"/>
      <c r="AB688" s="1272"/>
      <c r="AC688" s="1272"/>
      <c r="AD688" s="1272"/>
      <c r="AE688" s="1272"/>
      <c r="AF688" s="1272"/>
      <c r="AG688" s="1272"/>
      <c r="AH688" s="1272"/>
      <c r="AI688" s="1272"/>
      <c r="AJ688" s="1272"/>
      <c r="AK688" s="1272"/>
      <c r="AZ688" s="3"/>
    </row>
    <row r="689" spans="1:52" ht="12.95" customHeight="1">
      <c r="A689" s="22"/>
      <c r="B689" t="s">
        <v>20</v>
      </c>
      <c r="N689" s="1269" t="s">
        <v>669</v>
      </c>
      <c r="O689" s="1269"/>
      <c r="T689" s="22"/>
      <c r="U689" t="s">
        <v>20</v>
      </c>
      <c r="AG689" s="1269" t="s">
        <v>669</v>
      </c>
      <c r="AH689" s="1269"/>
      <c r="AZ689" s="3"/>
    </row>
    <row r="690" spans="1:52" ht="12.95" customHeight="1">
      <c r="A690" s="22"/>
      <c r="T690" s="22"/>
      <c r="AZ690" s="3"/>
    </row>
    <row r="691" spans="1:52" ht="12.95" customHeight="1">
      <c r="A691" s="55" t="s">
        <v>362</v>
      </c>
      <c r="B691" t="s">
        <v>463</v>
      </c>
      <c r="G691" s="1346">
        <f>C645</f>
        <v>0</v>
      </c>
      <c r="H691" s="1346"/>
      <c r="I691" s="1346"/>
      <c r="J691" s="1346"/>
      <c r="K691" s="1346"/>
      <c r="L691" s="1346"/>
      <c r="M691" s="1346"/>
      <c r="N691" s="1346"/>
      <c r="O691" s="1346"/>
      <c r="P691" s="1346"/>
      <c r="Q691" s="1346"/>
      <c r="R691" s="1346"/>
      <c r="T691" s="55" t="s">
        <v>363</v>
      </c>
      <c r="U691" t="s">
        <v>463</v>
      </c>
      <c r="Z691" s="1346">
        <f>C646</f>
        <v>0</v>
      </c>
      <c r="AA691" s="1346"/>
      <c r="AB691" s="1346"/>
      <c r="AC691" s="1346"/>
      <c r="AD691" s="1346"/>
      <c r="AE691" s="1346"/>
      <c r="AF691" s="1346"/>
      <c r="AG691" s="1346"/>
      <c r="AH691" s="1346"/>
      <c r="AI691" s="1346"/>
      <c r="AJ691" s="1346"/>
      <c r="AK691" s="1346"/>
      <c r="AZ691" s="3"/>
    </row>
    <row r="692" spans="1:52" ht="12.95" customHeight="1">
      <c r="B692" t="s">
        <v>85</v>
      </c>
      <c r="G692" s="1272"/>
      <c r="H692" s="1272"/>
      <c r="I692" s="1272"/>
      <c r="J692" s="1272"/>
      <c r="K692" s="1272"/>
      <c r="L692" s="1272"/>
      <c r="M692" s="1272"/>
      <c r="N692" s="1272"/>
      <c r="O692" s="1272"/>
      <c r="P692" s="1272"/>
      <c r="Q692" s="1272"/>
      <c r="R692" s="1272"/>
      <c r="T692" s="22"/>
      <c r="U692" t="s">
        <v>85</v>
      </c>
      <c r="Z692" s="1272"/>
      <c r="AA692" s="1272"/>
      <c r="AB692" s="1272"/>
      <c r="AC692" s="1272"/>
      <c r="AD692" s="1272"/>
      <c r="AE692" s="1272"/>
      <c r="AF692" s="1272"/>
      <c r="AG692" s="1272"/>
      <c r="AH692" s="1272"/>
      <c r="AI692" s="1272"/>
      <c r="AJ692" s="1272"/>
      <c r="AK692" s="1272"/>
      <c r="AZ692" s="3"/>
    </row>
    <row r="693" spans="1:52" ht="12.95" customHeight="1">
      <c r="B693" t="s">
        <v>580</v>
      </c>
      <c r="G693" s="1272"/>
      <c r="H693" s="1272"/>
      <c r="I693" s="1272"/>
      <c r="J693" s="1272"/>
      <c r="K693" s="1272"/>
      <c r="L693" s="1272"/>
      <c r="M693" s="1272"/>
      <c r="N693" s="1272"/>
      <c r="O693" s="1272"/>
      <c r="P693" s="1272"/>
      <c r="Q693" s="1272"/>
      <c r="R693" s="1272"/>
      <c r="U693" t="s">
        <v>580</v>
      </c>
      <c r="Z693" s="1271"/>
      <c r="AA693" s="1271"/>
      <c r="AB693" s="1271"/>
      <c r="AC693" s="1271"/>
      <c r="AD693" s="1271"/>
      <c r="AE693" s="1271"/>
      <c r="AF693" s="1271"/>
      <c r="AG693" s="1271"/>
      <c r="AH693" s="1271"/>
      <c r="AI693" s="1271"/>
      <c r="AJ693" s="1271"/>
      <c r="AK693" s="1271"/>
      <c r="AZ693" s="3"/>
    </row>
    <row r="694" spans="1:52" ht="12.95" customHeight="1">
      <c r="B694" t="s">
        <v>17</v>
      </c>
      <c r="G694" s="1272"/>
      <c r="H694" s="1272"/>
      <c r="I694" s="1272"/>
      <c r="J694" s="1272"/>
      <c r="K694" s="1272"/>
      <c r="L694" s="1272"/>
      <c r="M694" s="1272"/>
      <c r="N694" s="1272"/>
      <c r="O694" s="1272"/>
      <c r="P694" s="1272"/>
      <c r="Q694" s="1272"/>
      <c r="R694" s="1272"/>
      <c r="U694" t="s">
        <v>17</v>
      </c>
      <c r="Z694" s="1271"/>
      <c r="AA694" s="1271"/>
      <c r="AB694" s="1271"/>
      <c r="AC694" s="1271"/>
      <c r="AD694" s="1271"/>
      <c r="AE694" s="1271"/>
      <c r="AF694" s="1271"/>
      <c r="AG694" s="1271"/>
      <c r="AH694" s="1271"/>
      <c r="AI694" s="1271"/>
      <c r="AJ694" s="1271"/>
      <c r="AK694" s="1271"/>
      <c r="AZ694" s="3"/>
    </row>
    <row r="695" spans="1:52" ht="12.95" customHeight="1">
      <c r="B695" t="s">
        <v>316</v>
      </c>
      <c r="G695" s="1274"/>
      <c r="H695" s="1274"/>
      <c r="I695" s="1274"/>
      <c r="J695" s="1274"/>
      <c r="K695" s="1274"/>
      <c r="L695" s="1274"/>
      <c r="O695" s="33" t="s">
        <v>206</v>
      </c>
      <c r="P695" s="1345"/>
      <c r="Q695" s="1345"/>
      <c r="R695" s="1345"/>
      <c r="U695" t="s">
        <v>316</v>
      </c>
      <c r="Z695" s="1274"/>
      <c r="AA695" s="1274"/>
      <c r="AB695" s="1274"/>
      <c r="AC695" s="1274"/>
      <c r="AD695" s="1274"/>
      <c r="AE695" s="1274"/>
      <c r="AH695" s="33" t="s">
        <v>206</v>
      </c>
      <c r="AI695" s="1345"/>
      <c r="AJ695" s="1345"/>
      <c r="AK695" s="1345"/>
      <c r="AZ695" s="3"/>
    </row>
    <row r="696" spans="1:52" ht="12.95" customHeight="1">
      <c r="B696" t="s">
        <v>18</v>
      </c>
      <c r="H696" s="1272"/>
      <c r="I696" s="1272"/>
      <c r="J696" s="1272"/>
      <c r="K696" s="1272"/>
      <c r="L696" s="1272"/>
      <c r="M696" s="1272"/>
      <c r="N696" s="1272"/>
      <c r="O696" s="1272"/>
      <c r="P696" s="1272"/>
      <c r="Q696" s="1272"/>
      <c r="R696" s="1272"/>
      <c r="U696" t="s">
        <v>18</v>
      </c>
      <c r="AA696" s="1272"/>
      <c r="AB696" s="1272"/>
      <c r="AC696" s="1272"/>
      <c r="AD696" s="1272"/>
      <c r="AE696" s="1272"/>
      <c r="AF696" s="1272"/>
      <c r="AG696" s="1272"/>
      <c r="AH696" s="1272"/>
      <c r="AI696" s="1272"/>
      <c r="AJ696" s="1272"/>
      <c r="AK696" s="1272"/>
      <c r="AZ696" s="3"/>
    </row>
    <row r="697" spans="1:52" ht="12.95" customHeight="1">
      <c r="B697" t="s">
        <v>20</v>
      </c>
      <c r="N697" s="1269" t="s">
        <v>669</v>
      </c>
      <c r="O697" s="1269"/>
      <c r="U697" t="s">
        <v>20</v>
      </c>
      <c r="AG697" s="1269" t="s">
        <v>669</v>
      </c>
      <c r="AH697" s="1269"/>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269" t="s">
        <v>545</v>
      </c>
      <c r="AF701" s="1269"/>
      <c r="AZ701" s="3"/>
    </row>
    <row r="702" spans="1:52" ht="12.95" customHeight="1">
      <c r="B702" s="135"/>
      <c r="C702" s="135"/>
      <c r="D702" s="136" t="s">
        <v>437</v>
      </c>
      <c r="E702" s="135"/>
      <c r="F702" s="135"/>
      <c r="G702" s="135"/>
      <c r="H702" s="135"/>
      <c r="AE702" s="1269" t="s">
        <v>669</v>
      </c>
      <c r="AF702" s="1269"/>
      <c r="AZ702" s="3"/>
    </row>
    <row r="703" spans="1:52" ht="12.95" customHeight="1">
      <c r="B703" s="135"/>
      <c r="C703" s="135"/>
      <c r="D703" s="136" t="s">
        <v>920</v>
      </c>
      <c r="E703" s="135"/>
      <c r="F703" s="135"/>
      <c r="G703" s="135"/>
      <c r="H703" s="135"/>
      <c r="AE703" s="1463">
        <v>46161</v>
      </c>
      <c r="AF703" s="1463"/>
      <c r="AG703" s="1463"/>
      <c r="AH703" s="1463"/>
      <c r="AI703" s="1463"/>
    </row>
    <row r="704" spans="1:52" ht="12.95" customHeight="1">
      <c r="B704" s="135"/>
      <c r="C704" s="135"/>
      <c r="D704" s="317" t="s">
        <v>983</v>
      </c>
      <c r="E704" s="135"/>
      <c r="F704" s="135"/>
      <c r="G704" s="135"/>
      <c r="H704" s="135"/>
      <c r="AE704" s="1558">
        <v>46252</v>
      </c>
      <c r="AF704" s="1558"/>
      <c r="AG704" s="1558"/>
      <c r="AH704" s="1558"/>
      <c r="AI704" s="1558"/>
    </row>
    <row r="705" spans="1:110" ht="12.95" customHeight="1">
      <c r="B705" s="135"/>
      <c r="C705" s="135"/>
    </row>
    <row r="706" spans="1:110" ht="12.95" customHeight="1">
      <c r="B706" s="135"/>
      <c r="C706" s="135"/>
      <c r="D706" s="136" t="s">
        <v>816</v>
      </c>
      <c r="E706" s="135"/>
      <c r="F706" s="135"/>
      <c r="G706" s="135"/>
      <c r="H706" s="135"/>
      <c r="AE706" s="1463">
        <v>46341</v>
      </c>
      <c r="AF706" s="1463"/>
      <c r="AG706" s="1463"/>
      <c r="AH706" s="1463"/>
      <c r="AI706" s="1463"/>
    </row>
    <row r="707" spans="1:110" ht="12.95" customHeight="1">
      <c r="B707" s="135"/>
      <c r="C707" s="135"/>
      <c r="D707" s="136" t="s">
        <v>435</v>
      </c>
      <c r="E707" s="135"/>
      <c r="F707" s="135"/>
      <c r="G707" s="135"/>
      <c r="H707" s="135"/>
      <c r="AE707" s="1763">
        <v>0.27500000000000002</v>
      </c>
      <c r="AF707" s="1763"/>
      <c r="AG707" s="1763"/>
      <c r="AH707" s="1763"/>
      <c r="AI707" s="1763"/>
    </row>
    <row r="708" spans="1:110" ht="12.95" customHeight="1">
      <c r="B708" s="135"/>
      <c r="C708" s="135"/>
      <c r="D708" s="136" t="s">
        <v>436</v>
      </c>
      <c r="E708" s="135"/>
      <c r="F708" s="135"/>
      <c r="G708" s="135"/>
      <c r="H708" s="135"/>
      <c r="W708" s="1346" t="str">
        <f>H344</f>
        <v xml:space="preserve">California Municipal Finance Authority </v>
      </c>
      <c r="X708" s="1346"/>
      <c r="Y708" s="1346"/>
      <c r="Z708" s="1346"/>
      <c r="AA708" s="1346"/>
      <c r="AB708" s="1346"/>
      <c r="AC708" s="1346"/>
      <c r="AD708" s="1346"/>
      <c r="AE708" s="1346"/>
      <c r="AF708" s="1346"/>
      <c r="AG708" s="1346"/>
      <c r="AH708" s="1346"/>
      <c r="AI708" s="1346"/>
      <c r="AJ708" s="1346"/>
      <c r="AK708" s="1346"/>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269" t="s">
        <v>669</v>
      </c>
      <c r="AF710" s="1269"/>
    </row>
    <row r="711" spans="1:110" ht="12.95" customHeight="1">
      <c r="B711" s="135"/>
      <c r="C711" s="135"/>
      <c r="D711" s="136" t="s">
        <v>442</v>
      </c>
      <c r="E711" s="135"/>
      <c r="F711" s="135"/>
      <c r="G711" s="135"/>
      <c r="H711" s="135"/>
      <c r="W711" s="1272" t="s">
        <v>591</v>
      </c>
      <c r="X711" s="1272"/>
      <c r="Y711" s="1272"/>
      <c r="Z711" s="1272"/>
      <c r="AA711" s="1272"/>
      <c r="AB711" s="1272"/>
      <c r="AC711" s="1272"/>
      <c r="AD711" s="1272"/>
      <c r="AE711" s="1272"/>
      <c r="AF711" s="1272"/>
      <c r="AG711" s="1272"/>
      <c r="AH711" s="1272"/>
      <c r="AI711" s="1272"/>
      <c r="AJ711" s="1272"/>
      <c r="AK711" s="1272"/>
    </row>
    <row r="712" spans="1:110" ht="12.95" customHeight="1">
      <c r="B712" s="135"/>
      <c r="C712" s="135"/>
      <c r="D712" s="136" t="s">
        <v>87</v>
      </c>
      <c r="E712" s="135"/>
      <c r="F712" s="135"/>
      <c r="G712" s="135"/>
      <c r="H712" s="135"/>
      <c r="J712" s="1272"/>
      <c r="K712" s="1272"/>
      <c r="L712" s="1272"/>
      <c r="M712" s="1272"/>
      <c r="N712" s="1272"/>
      <c r="O712" s="1272"/>
      <c r="P712" s="1272"/>
      <c r="Q712" s="1272"/>
      <c r="R712" s="1272"/>
      <c r="S712" s="1272"/>
      <c r="T712" s="1272"/>
      <c r="U712" s="1272"/>
      <c r="V712" s="1272"/>
      <c r="W712" s="1272"/>
      <c r="X712" s="1272"/>
      <c r="BB712" s="34"/>
      <c r="BC712" s="34"/>
      <c r="BD712" s="34"/>
      <c r="BE712" s="3"/>
      <c r="BF712" s="3"/>
      <c r="BJ712" s="3"/>
      <c r="BK712" s="3"/>
      <c r="BL712" s="3"/>
      <c r="BM712" s="3"/>
      <c r="BN712" s="34"/>
      <c r="BO712" s="34"/>
    </row>
    <row r="713" spans="1:110" ht="12.95" customHeight="1">
      <c r="B713" s="135"/>
      <c r="C713" s="135"/>
      <c r="D713" s="136" t="s">
        <v>88</v>
      </c>
      <c r="J713" s="1274"/>
      <c r="K713" s="1274"/>
      <c r="L713" s="1274"/>
      <c r="M713" s="1274"/>
      <c r="N713" s="1274"/>
      <c r="O713" s="1274"/>
      <c r="P713" s="4" t="s">
        <v>206</v>
      </c>
      <c r="Q713" s="4"/>
      <c r="R713" s="1345"/>
      <c r="S713" s="1345"/>
      <c r="T713" s="134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272" t="s">
        <v>307</v>
      </c>
      <c r="X714" s="1272"/>
      <c r="Y714" s="1272"/>
      <c r="Z714" s="1272"/>
      <c r="AA714" s="1272"/>
      <c r="AB714" s="1272"/>
      <c r="AC714" s="1272"/>
      <c r="AD714" s="1272"/>
      <c r="AE714" s="1272"/>
      <c r="AF714" s="1272"/>
      <c r="AG714" s="1272"/>
      <c r="AH714" s="1272"/>
      <c r="AI714" s="1272"/>
      <c r="AJ714" s="1272"/>
      <c r="AK714" s="127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272" t="s">
        <v>334</v>
      </c>
      <c r="F715" s="1272"/>
      <c r="G715" s="1272"/>
      <c r="H715" s="1272"/>
      <c r="I715" s="1272"/>
      <c r="J715" s="1272"/>
      <c r="K715" s="1272"/>
      <c r="L715" s="1272"/>
      <c r="M715" s="1272"/>
      <c r="N715" s="1272"/>
      <c r="O715" s="1272"/>
      <c r="P715" s="1272"/>
      <c r="Q715" s="1272"/>
      <c r="R715" s="1272"/>
      <c r="S715" s="1272"/>
      <c r="T715" s="1272"/>
      <c r="U715" s="1272"/>
      <c r="V715" s="1272"/>
      <c r="W715" s="1272"/>
      <c r="X715" s="1272"/>
      <c r="Y715" s="1272"/>
      <c r="Z715" s="1272"/>
      <c r="AA715" s="1272"/>
      <c r="AB715" s="1272"/>
      <c r="AC715" s="1272"/>
      <c r="AD715" s="1272"/>
      <c r="AE715" s="1272"/>
      <c r="AF715" s="1272"/>
      <c r="AG715" s="1272"/>
      <c r="AH715" s="1272"/>
      <c r="AI715" s="1272"/>
      <c r="AJ715" s="1272"/>
      <c r="AK715" s="127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574" t="s">
        <v>95</v>
      </c>
      <c r="B717" s="1574"/>
      <c r="C717" s="1574"/>
      <c r="D717" s="1574"/>
      <c r="E717" s="1574"/>
      <c r="F717" s="1574"/>
      <c r="G717" s="1574"/>
      <c r="H717" s="1574"/>
      <c r="I717" s="1574"/>
      <c r="J717" s="1574"/>
      <c r="K717" s="1574"/>
      <c r="L717" s="1574"/>
      <c r="M717" s="1574"/>
      <c r="N717" s="1574"/>
      <c r="O717" s="1574"/>
      <c r="P717" s="1574"/>
      <c r="Q717" s="1574"/>
      <c r="R717" s="1574"/>
      <c r="S717" s="1574"/>
      <c r="T717" s="1574"/>
      <c r="U717" s="1574"/>
      <c r="V717" s="1574"/>
      <c r="W717" s="1574"/>
      <c r="X717" s="1574"/>
      <c r="Y717" s="1574"/>
      <c r="Z717" s="1574"/>
      <c r="AA717" s="1574"/>
      <c r="AB717" s="1574"/>
      <c r="AC717" s="1574"/>
      <c r="AD717" s="1574"/>
      <c r="AE717" s="1574"/>
      <c r="AF717" s="1574"/>
      <c r="AG717" s="1574"/>
      <c r="AH717" s="1574"/>
      <c r="AI717" s="1574"/>
      <c r="AJ717" s="1574"/>
      <c r="AK717" s="1574"/>
      <c r="AL717" s="1574"/>
      <c r="AM717" s="1574"/>
      <c r="AN717" s="1574"/>
      <c r="AO717" s="1574"/>
      <c r="AP717" s="1574"/>
      <c r="AQ717" s="1574"/>
      <c r="AR717" s="1574"/>
      <c r="AS717" s="1574"/>
      <c r="AT717" s="1574"/>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574"/>
      <c r="B718" s="1574"/>
      <c r="C718" s="1574"/>
      <c r="D718" s="1574"/>
      <c r="E718" s="1574"/>
      <c r="F718" s="1574"/>
      <c r="G718" s="1574"/>
      <c r="H718" s="1574"/>
      <c r="I718" s="1574"/>
      <c r="J718" s="1574"/>
      <c r="K718" s="1574"/>
      <c r="L718" s="1574"/>
      <c r="M718" s="1574"/>
      <c r="N718" s="1574"/>
      <c r="O718" s="1574"/>
      <c r="P718" s="1574"/>
      <c r="Q718" s="1574"/>
      <c r="R718" s="1574"/>
      <c r="S718" s="1574"/>
      <c r="T718" s="1574"/>
      <c r="U718" s="1574"/>
      <c r="V718" s="1574"/>
      <c r="W718" s="1574"/>
      <c r="X718" s="1574"/>
      <c r="Y718" s="1574"/>
      <c r="Z718" s="1574"/>
      <c r="AA718" s="1574"/>
      <c r="AB718" s="1574"/>
      <c r="AC718" s="1574"/>
      <c r="AD718" s="1574"/>
      <c r="AE718" s="1574"/>
      <c r="AF718" s="1574"/>
      <c r="AG718" s="1574"/>
      <c r="AH718" s="1574"/>
      <c r="AI718" s="1574"/>
      <c r="AJ718" s="1574"/>
      <c r="AK718" s="1574"/>
      <c r="AL718" s="1574"/>
      <c r="AM718" s="1574"/>
      <c r="AN718" s="1574"/>
      <c r="AO718" s="1574"/>
      <c r="AP718" s="1574"/>
      <c r="AQ718" s="1574"/>
      <c r="AR718" s="1574"/>
      <c r="AS718" s="1574"/>
      <c r="AT718" s="1574"/>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574"/>
      <c r="B719" s="1574"/>
      <c r="C719" s="1574"/>
      <c r="D719" s="1574"/>
      <c r="E719" s="1574"/>
      <c r="F719" s="1574"/>
      <c r="G719" s="1574"/>
      <c r="H719" s="1574"/>
      <c r="I719" s="1574"/>
      <c r="J719" s="1574"/>
      <c r="K719" s="1574"/>
      <c r="L719" s="1574"/>
      <c r="M719" s="1574"/>
      <c r="N719" s="1574"/>
      <c r="O719" s="1574"/>
      <c r="P719" s="1574"/>
      <c r="Q719" s="1574"/>
      <c r="R719" s="1574"/>
      <c r="S719" s="1574"/>
      <c r="T719" s="1574"/>
      <c r="U719" s="1574"/>
      <c r="V719" s="1574"/>
      <c r="W719" s="1574"/>
      <c r="X719" s="1574"/>
      <c r="Y719" s="1574"/>
      <c r="Z719" s="1574"/>
      <c r="AA719" s="1574"/>
      <c r="AB719" s="1574"/>
      <c r="AC719" s="1574"/>
      <c r="AD719" s="1574"/>
      <c r="AE719" s="1574"/>
      <c r="AF719" s="1574"/>
      <c r="AG719" s="1574"/>
      <c r="AH719" s="1574"/>
      <c r="AI719" s="1574"/>
      <c r="AJ719" s="1574"/>
      <c r="AK719" s="1574"/>
      <c r="AL719" s="1574"/>
      <c r="AM719" s="1574"/>
      <c r="AN719" s="1574"/>
      <c r="AO719" s="1574"/>
      <c r="AP719" s="1574"/>
      <c r="AQ719" s="1574"/>
      <c r="AR719" s="1574"/>
      <c r="AS719" s="1574"/>
      <c r="AT719" s="1574"/>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30" t="s">
        <v>389</v>
      </c>
      <c r="C722" s="1531"/>
      <c r="D722" s="1531"/>
      <c r="E722" s="1531"/>
      <c r="F722" s="1532"/>
      <c r="G722" s="1530" t="s">
        <v>285</v>
      </c>
      <c r="H722" s="1531"/>
      <c r="I722" s="1531"/>
      <c r="J722" s="1532"/>
      <c r="K722" s="1369" t="s">
        <v>1668</v>
      </c>
      <c r="L722" s="1370"/>
      <c r="M722" s="1370"/>
      <c r="N722" s="1371"/>
      <c r="O722" s="1530" t="s">
        <v>447</v>
      </c>
      <c r="P722" s="1531"/>
      <c r="Q722" s="1531"/>
      <c r="R722" s="1531"/>
      <c r="S722" s="1532"/>
      <c r="T722" s="1557" t="s">
        <v>1922</v>
      </c>
      <c r="U722" s="1531"/>
      <c r="V722" s="1531"/>
      <c r="W722" s="1532"/>
      <c r="X722" s="1557" t="s">
        <v>1924</v>
      </c>
      <c r="Y722" s="1531"/>
      <c r="Z722" s="1531"/>
      <c r="AA722" s="1531"/>
      <c r="AB722" s="1532"/>
      <c r="AC722" s="1557" t="s">
        <v>1923</v>
      </c>
      <c r="AD722" s="1531"/>
      <c r="AE722" s="1531"/>
      <c r="AF722" s="1531"/>
      <c r="AG722" s="1532"/>
      <c r="AH722" s="1557" t="s">
        <v>1925</v>
      </c>
      <c r="AI722" s="1531"/>
      <c r="AJ722" s="1532"/>
      <c r="AK722" s="1557" t="s">
        <v>1952</v>
      </c>
      <c r="AL722" s="1531"/>
      <c r="AM722" s="1531"/>
      <c r="AN722" s="1531"/>
      <c r="AO722" s="1532"/>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533"/>
      <c r="C723" s="1534"/>
      <c r="D723" s="1534"/>
      <c r="E723" s="1534"/>
      <c r="F723" s="1535"/>
      <c r="G723" s="1533"/>
      <c r="H723" s="1534"/>
      <c r="I723" s="1534"/>
      <c r="J723" s="1535"/>
      <c r="K723" s="1372"/>
      <c r="L723" s="1373"/>
      <c r="M723" s="1373"/>
      <c r="N723" s="1374"/>
      <c r="O723" s="1533"/>
      <c r="P723" s="1534"/>
      <c r="Q723" s="1534"/>
      <c r="R723" s="1534"/>
      <c r="S723" s="1535"/>
      <c r="T723" s="1533"/>
      <c r="U723" s="1534"/>
      <c r="V723" s="1534"/>
      <c r="W723" s="1535"/>
      <c r="X723" s="1533"/>
      <c r="Y723" s="1534"/>
      <c r="Z723" s="1534"/>
      <c r="AA723" s="1534"/>
      <c r="AB723" s="1535"/>
      <c r="AC723" s="1533"/>
      <c r="AD723" s="1534"/>
      <c r="AE723" s="1534"/>
      <c r="AF723" s="1534"/>
      <c r="AG723" s="1535"/>
      <c r="AH723" s="1533"/>
      <c r="AI723" s="1534"/>
      <c r="AJ723" s="1535"/>
      <c r="AK723" s="1533"/>
      <c r="AL723" s="1534"/>
      <c r="AM723" s="1534"/>
      <c r="AN723" s="1534"/>
      <c r="AO723" s="1535"/>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533"/>
      <c r="C724" s="1534"/>
      <c r="D724" s="1534"/>
      <c r="E724" s="1534"/>
      <c r="F724" s="1535"/>
      <c r="G724" s="1533"/>
      <c r="H724" s="1534"/>
      <c r="I724" s="1534"/>
      <c r="J724" s="1535"/>
      <c r="K724" s="1372"/>
      <c r="L724" s="1373"/>
      <c r="M724" s="1373"/>
      <c r="N724" s="1374"/>
      <c r="O724" s="1533"/>
      <c r="P724" s="1534"/>
      <c r="Q724" s="1534"/>
      <c r="R724" s="1534"/>
      <c r="S724" s="1535"/>
      <c r="T724" s="1533"/>
      <c r="U724" s="1534"/>
      <c r="V724" s="1534"/>
      <c r="W724" s="1535"/>
      <c r="X724" s="1533"/>
      <c r="Y724" s="1534"/>
      <c r="Z724" s="1534"/>
      <c r="AA724" s="1534"/>
      <c r="AB724" s="1535"/>
      <c r="AC724" s="1533"/>
      <c r="AD724" s="1534"/>
      <c r="AE724" s="1534"/>
      <c r="AF724" s="1534"/>
      <c r="AG724" s="1535"/>
      <c r="AH724" s="1533"/>
      <c r="AI724" s="1534"/>
      <c r="AJ724" s="1535"/>
      <c r="AK724" s="1533"/>
      <c r="AL724" s="1534"/>
      <c r="AM724" s="1534"/>
      <c r="AN724" s="1534"/>
      <c r="AO724" s="1535"/>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536"/>
      <c r="C725" s="1537"/>
      <c r="D725" s="1537"/>
      <c r="E725" s="1537"/>
      <c r="F725" s="1538"/>
      <c r="G725" s="1536"/>
      <c r="H725" s="1537"/>
      <c r="I725" s="1537"/>
      <c r="J725" s="1538"/>
      <c r="K725" s="1372"/>
      <c r="L725" s="1373"/>
      <c r="M725" s="1373"/>
      <c r="N725" s="1374"/>
      <c r="O725" s="1536"/>
      <c r="P725" s="1537"/>
      <c r="Q725" s="1537"/>
      <c r="R725" s="1537"/>
      <c r="S725" s="1538"/>
      <c r="T725" s="1536"/>
      <c r="U725" s="1537"/>
      <c r="V725" s="1537"/>
      <c r="W725" s="1538"/>
      <c r="X725" s="1536"/>
      <c r="Y725" s="1537"/>
      <c r="Z725" s="1537"/>
      <c r="AA725" s="1537"/>
      <c r="AB725" s="1538"/>
      <c r="AC725" s="1536"/>
      <c r="AD725" s="1537"/>
      <c r="AE725" s="1537"/>
      <c r="AF725" s="1537"/>
      <c r="AG725" s="1538"/>
      <c r="AH725" s="1536"/>
      <c r="AI725" s="1537"/>
      <c r="AJ725" s="1538"/>
      <c r="AK725" s="1536"/>
      <c r="AL725" s="1537"/>
      <c r="AM725" s="1537"/>
      <c r="AN725" s="1537"/>
      <c r="AO725" s="1538"/>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285"/>
      <c r="CJ725" s="1287"/>
      <c r="CK725" s="121" t="s">
        <v>475</v>
      </c>
      <c r="CL725" s="122"/>
      <c r="CM725" s="1285"/>
      <c r="CN725" s="1287"/>
      <c r="CO725" s="3"/>
      <c r="CP725" s="1577" t="s">
        <v>633</v>
      </c>
      <c r="CQ725" s="1578"/>
      <c r="CR725" s="1578"/>
      <c r="CS725" s="1578"/>
      <c r="CT725" s="1579"/>
      <c r="CU725" s="1363" t="s">
        <v>325</v>
      </c>
      <c r="CV725" s="1363"/>
      <c r="CW725" s="1363"/>
      <c r="CX725" s="1363"/>
      <c r="CY725" s="1363"/>
      <c r="CZ725" s="1363" t="s">
        <v>163</v>
      </c>
      <c r="DA725" s="1363"/>
      <c r="DB725" s="1363"/>
      <c r="DC725" s="1363"/>
      <c r="DD725" s="1363"/>
      <c r="DE725" s="1363" t="s">
        <v>164</v>
      </c>
      <c r="DF725" s="1363"/>
      <c r="DG725" s="1363"/>
      <c r="DH725" s="1363"/>
      <c r="DI725" s="1363"/>
      <c r="DJ725" s="1363" t="s">
        <v>460</v>
      </c>
      <c r="DK725" s="1363"/>
      <c r="DL725" s="1363"/>
      <c r="DM725" s="1363"/>
      <c r="DN725" s="1363"/>
      <c r="DO725" s="1363" t="s">
        <v>30</v>
      </c>
      <c r="DP725" s="1363"/>
      <c r="DQ725" s="1363"/>
      <c r="DR725" s="1363"/>
      <c r="DS725" s="1363"/>
      <c r="DT725" s="89"/>
      <c r="DU725" s="1363" t="s">
        <v>633</v>
      </c>
      <c r="DV725" s="1363"/>
      <c r="DW725" s="1363"/>
      <c r="DX725" s="1363"/>
      <c r="DY725" s="1363"/>
      <c r="DZ725" s="1363" t="s">
        <v>325</v>
      </c>
      <c r="EA725" s="1363"/>
      <c r="EB725" s="1363"/>
      <c r="EC725" s="1363"/>
      <c r="ED725" s="1363"/>
      <c r="EE725" s="1363" t="s">
        <v>163</v>
      </c>
      <c r="EF725" s="1363"/>
      <c r="EG725" s="1363"/>
      <c r="EH725" s="1363"/>
      <c r="EI725" s="1363"/>
      <c r="EJ725" s="1363" t="s">
        <v>164</v>
      </c>
      <c r="EK725" s="1363"/>
      <c r="EL725" s="1363"/>
      <c r="EM725" s="1363"/>
      <c r="EN725" s="1363"/>
      <c r="EO725" s="1363" t="s">
        <v>460</v>
      </c>
      <c r="EP725" s="1363"/>
      <c r="EQ725" s="1363"/>
      <c r="ER725" s="1363"/>
      <c r="ES725" s="1363"/>
      <c r="ET725" s="1363" t="s">
        <v>30</v>
      </c>
      <c r="EU725" s="1363"/>
      <c r="EV725" s="1363"/>
      <c r="EW725" s="1363"/>
      <c r="EX725" s="1363"/>
      <c r="EY725" s="4"/>
      <c r="EZ725" s="1363" t="s">
        <v>633</v>
      </c>
      <c r="FA725" s="1363"/>
      <c r="FB725" s="1363"/>
      <c r="FC725" s="1363"/>
      <c r="FD725" s="1363"/>
      <c r="FE725" s="1363" t="s">
        <v>325</v>
      </c>
      <c r="FF725" s="1363"/>
      <c r="FG725" s="1363"/>
      <c r="FH725" s="1363"/>
      <c r="FI725" s="1363"/>
      <c r="FJ725" s="1363" t="s">
        <v>163</v>
      </c>
      <c r="FK725" s="1363"/>
      <c r="FL725" s="1363"/>
      <c r="FM725" s="1363"/>
      <c r="FN725" s="1363"/>
      <c r="FO725" s="1363" t="s">
        <v>164</v>
      </c>
      <c r="FP725" s="1363"/>
      <c r="FQ725" s="1363"/>
      <c r="FR725" s="1363"/>
      <c r="FS725" s="1363"/>
      <c r="FT725" s="1363" t="s">
        <v>460</v>
      </c>
      <c r="FU725" s="1363"/>
      <c r="FV725" s="1363"/>
      <c r="FW725" s="1363"/>
      <c r="FX725" s="1363"/>
      <c r="FY725" s="1363" t="s">
        <v>30</v>
      </c>
      <c r="FZ725" s="1363"/>
      <c r="GA725" s="1363"/>
      <c r="GB725" s="1363"/>
      <c r="GC725" s="1363"/>
    </row>
    <row r="726" spans="1:185" ht="12.95" customHeight="1">
      <c r="A726" s="4"/>
      <c r="B726" s="1305" t="s">
        <v>325</v>
      </c>
      <c r="C726" s="1306"/>
      <c r="D726" s="1306"/>
      <c r="E726" s="1306"/>
      <c r="F726" s="1307"/>
      <c r="G726" s="1314">
        <v>15</v>
      </c>
      <c r="H726" s="1315"/>
      <c r="I726" s="1315"/>
      <c r="J726" s="1316"/>
      <c r="K726" s="1524">
        <v>609</v>
      </c>
      <c r="L726" s="1525"/>
      <c r="M726" s="1525"/>
      <c r="N726" s="1526"/>
      <c r="O726" s="1320">
        <v>648</v>
      </c>
      <c r="P726" s="1321"/>
      <c r="Q726" s="1321"/>
      <c r="R726" s="1321"/>
      <c r="S726" s="1322"/>
      <c r="T726" s="1320">
        <v>75</v>
      </c>
      <c r="U726" s="1321"/>
      <c r="V726" s="1321"/>
      <c r="W726" s="1322"/>
      <c r="X726" s="1308">
        <f t="shared" ref="X726:X749" si="10">O726+T726</f>
        <v>723</v>
      </c>
      <c r="Y726" s="1309"/>
      <c r="Z726" s="1309"/>
      <c r="AA726" s="1309"/>
      <c r="AB726" s="1310"/>
      <c r="AC726" s="1317">
        <v>0.3</v>
      </c>
      <c r="AD726" s="1318"/>
      <c r="AE726" s="1318"/>
      <c r="AF726" s="1318"/>
      <c r="AG726" s="1319"/>
      <c r="AH726" s="1311">
        <f>IF($AC726&gt;0,($X726/$AZ726), "")</f>
        <v>0.29975124378109452</v>
      </c>
      <c r="AI726" s="1312"/>
      <c r="AJ726" s="1313"/>
      <c r="AK726" s="1305" t="s">
        <v>591</v>
      </c>
      <c r="AL726" s="1306"/>
      <c r="AM726" s="1306"/>
      <c r="AN726" s="1306"/>
      <c r="AO726" s="1307"/>
      <c r="AP726" s="3"/>
      <c r="AQ726" s="3"/>
      <c r="AR726" s="3"/>
      <c r="AS726" s="3"/>
      <c r="AZ726" s="118">
        <f t="shared" ref="AZ726:AZ760" si="11">IF($G726=0,"N/A",VLOOKUP($T$189,TC_Rent,(MATCH($B726,bedrooms,FALSE)),FALSE))</f>
        <v>2412</v>
      </c>
      <c r="BA726" s="3"/>
      <c r="BB726" s="3"/>
      <c r="BC726" s="3"/>
      <c r="BD726" s="3"/>
      <c r="BE726" s="204"/>
      <c r="BF726" s="293">
        <f t="shared" ref="BF726:BF760" si="12">G726</f>
        <v>15</v>
      </c>
      <c r="BG726" s="297">
        <f t="shared" ref="BG726:BG760" si="13">IF($BF$761=0,0,BF726/$BF$761)</f>
        <v>6.8181818181818177E-2</v>
      </c>
      <c r="BH726" s="298">
        <f t="shared" ref="BH726:BH760" si="14">IF(BG726=0,"",BG726*AC726)</f>
        <v>2.0454545454545451E-2</v>
      </c>
      <c r="BI726" s="3"/>
      <c r="BJ726" s="3"/>
      <c r="BK726" s="3"/>
      <c r="BL726" s="3"/>
      <c r="BM726" s="3"/>
      <c r="BN726" s="3"/>
      <c r="BS726" s="293">
        <f t="shared" ref="BS726:BS760" si="15">G726</f>
        <v>15</v>
      </c>
      <c r="BT726" s="297">
        <f t="shared" ref="BT726:BT760" si="16">IF($BS$761=0,0,BS726/$BS$761)</f>
        <v>6.8181818181818177E-2</v>
      </c>
      <c r="BU726" s="298">
        <f t="shared" ref="BU726:BU760" si="17">IF(BT726=0,"",BT726*AH726)</f>
        <v>2.0437584803256442E-2</v>
      </c>
      <c r="CC726" s="3"/>
      <c r="CD726" s="3"/>
      <c r="CE726" s="3"/>
      <c r="CF726" s="3"/>
      <c r="CG726" s="1301">
        <f>IF(AND(AC726&lt;=0.5,AC726&gt;=0.36),1,0)</f>
        <v>0</v>
      </c>
      <c r="CH726" s="1303"/>
      <c r="CI726" s="1285">
        <f>IF(CG726=1,G726,0)</f>
        <v>0</v>
      </c>
      <c r="CJ726" s="1287"/>
      <c r="CK726" s="1301">
        <f t="shared" ref="CK726:CK760" si="18">IF(AND(AC726&lt;=0.35,AC726&gt;0),1,0)</f>
        <v>1</v>
      </c>
      <c r="CL726" s="1303"/>
      <c r="CM726" s="1285">
        <f t="shared" ref="CM726:CM760" si="19">IF(CK726=1,G726,0)</f>
        <v>15</v>
      </c>
      <c r="CN726" s="1287"/>
      <c r="CO726" s="3"/>
      <c r="CP726" s="1282">
        <f t="shared" ref="CP726:CP760" si="20">IF(B726="SRO/Studio",G726,0)</f>
        <v>0</v>
      </c>
      <c r="CQ726" s="1283"/>
      <c r="CR726" s="1283"/>
      <c r="CS726" s="1283"/>
      <c r="CT726" s="1284"/>
      <c r="CU726" s="1304">
        <f t="shared" ref="CU726:CU760" si="21">IF(B726="1 Bedroom",G726,0)</f>
        <v>15</v>
      </c>
      <c r="CV726" s="1304"/>
      <c r="CW726" s="1304"/>
      <c r="CX726" s="1304"/>
      <c r="CY726" s="1304"/>
      <c r="CZ726" s="1304">
        <f t="shared" ref="CZ726:CZ760" si="22">IF(B726="2 Bedrooms",G726,0)</f>
        <v>0</v>
      </c>
      <c r="DA726" s="1304"/>
      <c r="DB726" s="1304"/>
      <c r="DC726" s="1304"/>
      <c r="DD726" s="1304"/>
      <c r="DE726" s="1304">
        <f t="shared" ref="DE726:DE760" si="23">IF(B726="3 Bedrooms",G726,0)</f>
        <v>0</v>
      </c>
      <c r="DF726" s="1304"/>
      <c r="DG726" s="1304"/>
      <c r="DH726" s="1304"/>
      <c r="DI726" s="1304"/>
      <c r="DJ726" s="1304">
        <f t="shared" ref="DJ726:DJ760" si="24">IF(B726="4 Bedrooms",G726,0)</f>
        <v>0</v>
      </c>
      <c r="DK726" s="1304"/>
      <c r="DL726" s="1304"/>
      <c r="DM726" s="1304"/>
      <c r="DN726" s="1304"/>
      <c r="DO726" s="1304">
        <f t="shared" ref="DO726:DO760" si="25">IF(B726="5 Bedrooms",G726,0)</f>
        <v>0</v>
      </c>
      <c r="DP726" s="1304"/>
      <c r="DQ726" s="1304"/>
      <c r="DR726" s="1304"/>
      <c r="DS726" s="1304"/>
      <c r="DT726" s="6"/>
      <c r="DU726" s="1323">
        <f t="shared" ref="DU726:DU760" si="26">IF(AND(B726="SRO/Studio",AC726&lt;=0.3),G726,0)</f>
        <v>0</v>
      </c>
      <c r="DV726" s="1323"/>
      <c r="DW726" s="1323"/>
      <c r="DX726" s="1323"/>
      <c r="DY726" s="1323"/>
      <c r="DZ726" s="1323">
        <f t="shared" ref="DZ726:DZ760" si="27">IF(AND(B726="1 Bedroom",AC726&lt;=0.3),G726,0)</f>
        <v>15</v>
      </c>
      <c r="EA726" s="1323"/>
      <c r="EB726" s="1323"/>
      <c r="EC726" s="1323"/>
      <c r="ED726" s="1323"/>
      <c r="EE726" s="1323">
        <f t="shared" ref="EE726:EE760" si="28">IF(AND(B726="2 Bedrooms",AC726&lt;=0.3),G726,0)</f>
        <v>0</v>
      </c>
      <c r="EF726" s="1323"/>
      <c r="EG726" s="1323"/>
      <c r="EH726" s="1323"/>
      <c r="EI726" s="1323"/>
      <c r="EJ726" s="1323">
        <f t="shared" ref="EJ726:EJ760" si="29">IF(AND(B726="3 Bedrooms",AC726&lt;=0.3),G726,0)</f>
        <v>0</v>
      </c>
      <c r="EK726" s="1323"/>
      <c r="EL726" s="1323"/>
      <c r="EM726" s="1323"/>
      <c r="EN726" s="1323"/>
      <c r="EO726" s="1323">
        <f t="shared" ref="EO726:EO760" si="30">IF(AND(B726="4 Bedrooms",AC726&lt;=0.3),G726,0)</f>
        <v>0</v>
      </c>
      <c r="EP726" s="1323"/>
      <c r="EQ726" s="1323"/>
      <c r="ER726" s="1323"/>
      <c r="ES726" s="1323"/>
      <c r="ET726" s="1323">
        <f t="shared" ref="ET726:ET760" si="31">IF(AND(B726="5 Bedrooms",AC726&lt;=0.3),G726,0)</f>
        <v>0</v>
      </c>
      <c r="EU726" s="1323"/>
      <c r="EV726" s="1323"/>
      <c r="EW726" s="1323"/>
      <c r="EX726" s="1323"/>
      <c r="EY726" s="4"/>
      <c r="EZ726" s="1301" t="str">
        <f t="shared" ref="EZ726:EZ760" si="32">IF(CP726&gt;0,O726,"")</f>
        <v/>
      </c>
      <c r="FA726" s="1302"/>
      <c r="FB726" s="1302"/>
      <c r="FC726" s="1302"/>
      <c r="FD726" s="1303"/>
      <c r="FE726" s="1301">
        <f t="shared" ref="FE726:FE760" si="33">IF(CU726&gt;0,O726,"")</f>
        <v>648</v>
      </c>
      <c r="FF726" s="1302"/>
      <c r="FG726" s="1302"/>
      <c r="FH726" s="1302"/>
      <c r="FI726" s="1303"/>
      <c r="FJ726" s="1301" t="str">
        <f t="shared" ref="FJ726:FJ760" si="34">IF(CZ726&gt;0,O726,"")</f>
        <v/>
      </c>
      <c r="FK726" s="1302"/>
      <c r="FL726" s="1302"/>
      <c r="FM726" s="1302"/>
      <c r="FN726" s="1303"/>
      <c r="FO726" s="1301" t="str">
        <f t="shared" ref="FO726:FO760" si="35">IF(DE726&gt;0,O726,"")</f>
        <v/>
      </c>
      <c r="FP726" s="1302"/>
      <c r="FQ726" s="1302"/>
      <c r="FR726" s="1302"/>
      <c r="FS726" s="1303"/>
      <c r="FT726" s="1301" t="str">
        <f t="shared" ref="FT726:FT760" si="36">IF(DJ726&gt;0,O726,"")</f>
        <v/>
      </c>
      <c r="FU726" s="1302"/>
      <c r="FV726" s="1302"/>
      <c r="FW726" s="1302"/>
      <c r="FX726" s="1303"/>
      <c r="FY726" s="1301" t="str">
        <f t="shared" ref="FY726:FY760" si="37">IF(DO726&gt;0,O726,"")</f>
        <v/>
      </c>
      <c r="FZ726" s="1302"/>
      <c r="GA726" s="1302"/>
      <c r="GB726" s="1302"/>
      <c r="GC726" s="1303"/>
    </row>
    <row r="727" spans="1:185" ht="12.95" customHeight="1">
      <c r="A727" s="4"/>
      <c r="B727" s="1305" t="s">
        <v>325</v>
      </c>
      <c r="C727" s="1306"/>
      <c r="D727" s="1306"/>
      <c r="E727" s="1306"/>
      <c r="F727" s="1307"/>
      <c r="G727" s="1314">
        <v>5</v>
      </c>
      <c r="H727" s="1315"/>
      <c r="I727" s="1315"/>
      <c r="J727" s="1316"/>
      <c r="K727" s="1524">
        <v>609</v>
      </c>
      <c r="L727" s="1525"/>
      <c r="M727" s="1525"/>
      <c r="N727" s="1526"/>
      <c r="O727" s="1320">
        <v>1131</v>
      </c>
      <c r="P727" s="1321"/>
      <c r="Q727" s="1321"/>
      <c r="R727" s="1321"/>
      <c r="S727" s="1322"/>
      <c r="T727" s="1320">
        <v>75</v>
      </c>
      <c r="U727" s="1321"/>
      <c r="V727" s="1321"/>
      <c r="W727" s="1322"/>
      <c r="X727" s="1308">
        <f t="shared" si="10"/>
        <v>1206</v>
      </c>
      <c r="Y727" s="1309"/>
      <c r="Z727" s="1309"/>
      <c r="AA727" s="1309"/>
      <c r="AB727" s="1310"/>
      <c r="AC727" s="1317">
        <v>0.5</v>
      </c>
      <c r="AD727" s="1318"/>
      <c r="AE727" s="1318"/>
      <c r="AF727" s="1318"/>
      <c r="AG727" s="1319"/>
      <c r="AH727" s="1311">
        <f t="shared" ref="AH727:AH760" si="38">IF($AC727&gt;0,($X727/$AZ727), "")</f>
        <v>0.5</v>
      </c>
      <c r="AI727" s="1312"/>
      <c r="AJ727" s="1313"/>
      <c r="AK727" s="1305" t="s">
        <v>591</v>
      </c>
      <c r="AL727" s="1306"/>
      <c r="AM727" s="1306"/>
      <c r="AN727" s="1306"/>
      <c r="AO727" s="1307"/>
      <c r="AP727" s="3"/>
      <c r="AQ727" s="3"/>
      <c r="AR727" s="3"/>
      <c r="AS727" s="3"/>
      <c r="AZ727" s="118">
        <f t="shared" si="11"/>
        <v>2412</v>
      </c>
      <c r="BA727" s="3"/>
      <c r="BB727" s="3"/>
      <c r="BC727" s="3"/>
      <c r="BD727" s="3"/>
      <c r="BE727" s="204"/>
      <c r="BF727" s="294">
        <f t="shared" si="12"/>
        <v>5</v>
      </c>
      <c r="BG727" s="297">
        <f t="shared" si="13"/>
        <v>2.2727272727272728E-2</v>
      </c>
      <c r="BH727" s="298">
        <f t="shared" si="14"/>
        <v>1.1363636363636364E-2</v>
      </c>
      <c r="BI727" s="3"/>
      <c r="BJ727" s="3"/>
      <c r="BK727" s="3"/>
      <c r="BL727" s="3"/>
      <c r="BM727" s="3"/>
      <c r="BN727" s="3"/>
      <c r="BS727" s="294">
        <f t="shared" si="15"/>
        <v>5</v>
      </c>
      <c r="BT727" s="297">
        <f t="shared" si="16"/>
        <v>2.2727272727272728E-2</v>
      </c>
      <c r="BU727" s="298">
        <f t="shared" si="17"/>
        <v>1.1363636363636364E-2</v>
      </c>
      <c r="CC727" s="3"/>
      <c r="CD727" s="3"/>
      <c r="CE727" s="3"/>
      <c r="CF727" s="3"/>
      <c r="CG727" s="1301">
        <f t="shared" ref="CG727:CG760" si="39">IF(AND(AC727&lt;=0.5,AC727&gt;=0.36),1,0)</f>
        <v>1</v>
      </c>
      <c r="CH727" s="1303"/>
      <c r="CI727" s="1285">
        <f t="shared" ref="CI727:CI760" si="40">IF(CG727=1,G727,0)</f>
        <v>5</v>
      </c>
      <c r="CJ727" s="1287"/>
      <c r="CK727" s="1301">
        <f t="shared" si="18"/>
        <v>0</v>
      </c>
      <c r="CL727" s="1303"/>
      <c r="CM727" s="1285">
        <f t="shared" si="19"/>
        <v>0</v>
      </c>
      <c r="CN727" s="1287"/>
      <c r="CO727" s="3"/>
      <c r="CP727" s="1282">
        <f t="shared" si="20"/>
        <v>0</v>
      </c>
      <c r="CQ727" s="1283"/>
      <c r="CR727" s="1283"/>
      <c r="CS727" s="1283"/>
      <c r="CT727" s="1284"/>
      <c r="CU727" s="1304">
        <f t="shared" si="21"/>
        <v>5</v>
      </c>
      <c r="CV727" s="1304"/>
      <c r="CW727" s="1304"/>
      <c r="CX727" s="1304"/>
      <c r="CY727" s="1304"/>
      <c r="CZ727" s="1304">
        <f t="shared" si="22"/>
        <v>0</v>
      </c>
      <c r="DA727" s="1304"/>
      <c r="DB727" s="1304"/>
      <c r="DC727" s="1304"/>
      <c r="DD727" s="1304"/>
      <c r="DE727" s="1304">
        <f t="shared" si="23"/>
        <v>0</v>
      </c>
      <c r="DF727" s="1304"/>
      <c r="DG727" s="1304"/>
      <c r="DH727" s="1304"/>
      <c r="DI727" s="1304"/>
      <c r="DJ727" s="1304">
        <f t="shared" si="24"/>
        <v>0</v>
      </c>
      <c r="DK727" s="1304"/>
      <c r="DL727" s="1304"/>
      <c r="DM727" s="1304"/>
      <c r="DN727" s="1304"/>
      <c r="DO727" s="1304">
        <f t="shared" si="25"/>
        <v>0</v>
      </c>
      <c r="DP727" s="1304"/>
      <c r="DQ727" s="1304"/>
      <c r="DR727" s="1304"/>
      <c r="DS727" s="1304"/>
      <c r="DT727" s="6"/>
      <c r="DU727" s="1323">
        <f t="shared" si="26"/>
        <v>0</v>
      </c>
      <c r="DV727" s="1323"/>
      <c r="DW727" s="1323"/>
      <c r="DX727" s="1323"/>
      <c r="DY727" s="1323"/>
      <c r="DZ727" s="1323">
        <f t="shared" si="27"/>
        <v>0</v>
      </c>
      <c r="EA727" s="1323"/>
      <c r="EB727" s="1323"/>
      <c r="EC727" s="1323"/>
      <c r="ED727" s="1323"/>
      <c r="EE727" s="1323">
        <f t="shared" si="28"/>
        <v>0</v>
      </c>
      <c r="EF727" s="1323"/>
      <c r="EG727" s="1323"/>
      <c r="EH727" s="1323"/>
      <c r="EI727" s="1323"/>
      <c r="EJ727" s="1323">
        <f t="shared" si="29"/>
        <v>0</v>
      </c>
      <c r="EK727" s="1323"/>
      <c r="EL727" s="1323"/>
      <c r="EM727" s="1323"/>
      <c r="EN727" s="1323"/>
      <c r="EO727" s="1323">
        <f t="shared" si="30"/>
        <v>0</v>
      </c>
      <c r="EP727" s="1323"/>
      <c r="EQ727" s="1323"/>
      <c r="ER727" s="1323"/>
      <c r="ES727" s="1323"/>
      <c r="ET727" s="1323">
        <f t="shared" si="31"/>
        <v>0</v>
      </c>
      <c r="EU727" s="1323"/>
      <c r="EV727" s="1323"/>
      <c r="EW727" s="1323"/>
      <c r="EX727" s="1323"/>
      <c r="EY727" s="4"/>
      <c r="EZ727" s="1301" t="str">
        <f t="shared" si="32"/>
        <v/>
      </c>
      <c r="FA727" s="1302"/>
      <c r="FB727" s="1302"/>
      <c r="FC727" s="1302"/>
      <c r="FD727" s="1303"/>
      <c r="FE727" s="1301">
        <f t="shared" si="33"/>
        <v>1131</v>
      </c>
      <c r="FF727" s="1302"/>
      <c r="FG727" s="1302"/>
      <c r="FH727" s="1302"/>
      <c r="FI727" s="1303"/>
      <c r="FJ727" s="1301" t="str">
        <f t="shared" si="34"/>
        <v/>
      </c>
      <c r="FK727" s="1302"/>
      <c r="FL727" s="1302"/>
      <c r="FM727" s="1302"/>
      <c r="FN727" s="1303"/>
      <c r="FO727" s="1301" t="str">
        <f t="shared" si="35"/>
        <v/>
      </c>
      <c r="FP727" s="1302"/>
      <c r="FQ727" s="1302"/>
      <c r="FR727" s="1302"/>
      <c r="FS727" s="1303"/>
      <c r="FT727" s="1301" t="str">
        <f t="shared" si="36"/>
        <v/>
      </c>
      <c r="FU727" s="1302"/>
      <c r="FV727" s="1302"/>
      <c r="FW727" s="1302"/>
      <c r="FX727" s="1303"/>
      <c r="FY727" s="1301" t="str">
        <f t="shared" si="37"/>
        <v/>
      </c>
      <c r="FZ727" s="1302"/>
      <c r="GA727" s="1302"/>
      <c r="GB727" s="1302"/>
      <c r="GC727" s="1303"/>
    </row>
    <row r="728" spans="1:185" ht="12.95" customHeight="1">
      <c r="A728" s="4"/>
      <c r="B728" s="1305" t="s">
        <v>325</v>
      </c>
      <c r="C728" s="1306"/>
      <c r="D728" s="1306"/>
      <c r="E728" s="1306"/>
      <c r="F728" s="1307"/>
      <c r="G728" s="1314">
        <v>124</v>
      </c>
      <c r="H728" s="1315"/>
      <c r="I728" s="1315"/>
      <c r="J728" s="1316"/>
      <c r="K728" s="1524">
        <v>609</v>
      </c>
      <c r="L728" s="1525"/>
      <c r="M728" s="1525"/>
      <c r="N728" s="1526"/>
      <c r="O728" s="1320">
        <v>1372</v>
      </c>
      <c r="P728" s="1321"/>
      <c r="Q728" s="1321"/>
      <c r="R728" s="1321"/>
      <c r="S728" s="1322"/>
      <c r="T728" s="1320">
        <v>75</v>
      </c>
      <c r="U728" s="1321"/>
      <c r="V728" s="1321"/>
      <c r="W728" s="1322"/>
      <c r="X728" s="1308">
        <f t="shared" si="10"/>
        <v>1447</v>
      </c>
      <c r="Y728" s="1309"/>
      <c r="Z728" s="1309"/>
      <c r="AA728" s="1309"/>
      <c r="AB728" s="1310"/>
      <c r="AC728" s="1317">
        <v>0.6</v>
      </c>
      <c r="AD728" s="1318"/>
      <c r="AE728" s="1318"/>
      <c r="AF728" s="1318"/>
      <c r="AG728" s="1319"/>
      <c r="AH728" s="1311">
        <f t="shared" si="38"/>
        <v>0.5999170812603648</v>
      </c>
      <c r="AI728" s="1312"/>
      <c r="AJ728" s="1313"/>
      <c r="AK728" s="1305" t="s">
        <v>591</v>
      </c>
      <c r="AL728" s="1306"/>
      <c r="AM728" s="1306"/>
      <c r="AN728" s="1306"/>
      <c r="AO728" s="1307"/>
      <c r="AP728" s="3"/>
      <c r="AQ728" s="3"/>
      <c r="AR728" s="3"/>
      <c r="AS728" s="3"/>
      <c r="AZ728" s="118">
        <f t="shared" si="11"/>
        <v>2412</v>
      </c>
      <c r="BA728" s="3"/>
      <c r="BB728" s="3"/>
      <c r="BC728" s="3"/>
      <c r="BD728" s="3"/>
      <c r="BE728" s="204"/>
      <c r="BF728" s="294">
        <f t="shared" si="12"/>
        <v>124</v>
      </c>
      <c r="BG728" s="297">
        <f t="shared" si="13"/>
        <v>0.5636363636363636</v>
      </c>
      <c r="BH728" s="298">
        <f t="shared" si="14"/>
        <v>0.33818181818181814</v>
      </c>
      <c r="BI728" s="3"/>
      <c r="BJ728" s="3"/>
      <c r="BK728" s="3"/>
      <c r="BL728" s="3"/>
      <c r="BM728" s="3"/>
      <c r="BN728" s="3"/>
      <c r="BS728" s="294">
        <f t="shared" si="15"/>
        <v>124</v>
      </c>
      <c r="BT728" s="297">
        <f t="shared" si="16"/>
        <v>0.5636363636363636</v>
      </c>
      <c r="BU728" s="298">
        <f t="shared" si="17"/>
        <v>0.33813508216493288</v>
      </c>
      <c r="CC728" s="3"/>
      <c r="CD728" s="3"/>
      <c r="CE728" s="3"/>
      <c r="CF728" s="3"/>
      <c r="CG728" s="1301">
        <f t="shared" si="39"/>
        <v>0</v>
      </c>
      <c r="CH728" s="1303"/>
      <c r="CI728" s="1285">
        <f t="shared" si="40"/>
        <v>0</v>
      </c>
      <c r="CJ728" s="1287"/>
      <c r="CK728" s="1301">
        <f t="shared" si="18"/>
        <v>0</v>
      </c>
      <c r="CL728" s="1303"/>
      <c r="CM728" s="1285">
        <f t="shared" si="19"/>
        <v>0</v>
      </c>
      <c r="CN728" s="1287"/>
      <c r="CO728" s="3"/>
      <c r="CP728" s="1282">
        <f t="shared" si="20"/>
        <v>0</v>
      </c>
      <c r="CQ728" s="1283"/>
      <c r="CR728" s="1283"/>
      <c r="CS728" s="1283"/>
      <c r="CT728" s="1284"/>
      <c r="CU728" s="1304">
        <f t="shared" si="21"/>
        <v>124</v>
      </c>
      <c r="CV728" s="1304"/>
      <c r="CW728" s="1304"/>
      <c r="CX728" s="1304"/>
      <c r="CY728" s="1304"/>
      <c r="CZ728" s="1304">
        <f t="shared" si="22"/>
        <v>0</v>
      </c>
      <c r="DA728" s="1304"/>
      <c r="DB728" s="1304"/>
      <c r="DC728" s="1304"/>
      <c r="DD728" s="1304"/>
      <c r="DE728" s="1304">
        <f t="shared" si="23"/>
        <v>0</v>
      </c>
      <c r="DF728" s="1304"/>
      <c r="DG728" s="1304"/>
      <c r="DH728" s="1304"/>
      <c r="DI728" s="1304"/>
      <c r="DJ728" s="1304">
        <f t="shared" si="24"/>
        <v>0</v>
      </c>
      <c r="DK728" s="1304"/>
      <c r="DL728" s="1304"/>
      <c r="DM728" s="1304"/>
      <c r="DN728" s="1304"/>
      <c r="DO728" s="1304">
        <f t="shared" si="25"/>
        <v>0</v>
      </c>
      <c r="DP728" s="1304"/>
      <c r="DQ728" s="1304"/>
      <c r="DR728" s="1304"/>
      <c r="DS728" s="1304"/>
      <c r="DT728" s="6"/>
      <c r="DU728" s="1323">
        <f t="shared" si="26"/>
        <v>0</v>
      </c>
      <c r="DV728" s="1323"/>
      <c r="DW728" s="1323"/>
      <c r="DX728" s="1323"/>
      <c r="DY728" s="1323"/>
      <c r="DZ728" s="1323">
        <f t="shared" si="27"/>
        <v>0</v>
      </c>
      <c r="EA728" s="1323"/>
      <c r="EB728" s="1323"/>
      <c r="EC728" s="1323"/>
      <c r="ED728" s="1323"/>
      <c r="EE728" s="1323">
        <f t="shared" si="28"/>
        <v>0</v>
      </c>
      <c r="EF728" s="1323"/>
      <c r="EG728" s="1323"/>
      <c r="EH728" s="1323"/>
      <c r="EI728" s="1323"/>
      <c r="EJ728" s="1323">
        <f t="shared" si="29"/>
        <v>0</v>
      </c>
      <c r="EK728" s="1323"/>
      <c r="EL728" s="1323"/>
      <c r="EM728" s="1323"/>
      <c r="EN728" s="1323"/>
      <c r="EO728" s="1323">
        <f t="shared" si="30"/>
        <v>0</v>
      </c>
      <c r="EP728" s="1323"/>
      <c r="EQ728" s="1323"/>
      <c r="ER728" s="1323"/>
      <c r="ES728" s="1323"/>
      <c r="ET728" s="1323">
        <f t="shared" si="31"/>
        <v>0</v>
      </c>
      <c r="EU728" s="1323"/>
      <c r="EV728" s="1323"/>
      <c r="EW728" s="1323"/>
      <c r="EX728" s="1323"/>
      <c r="EZ728" s="1301" t="str">
        <f t="shared" si="32"/>
        <v/>
      </c>
      <c r="FA728" s="1302"/>
      <c r="FB728" s="1302"/>
      <c r="FC728" s="1302"/>
      <c r="FD728" s="1303"/>
      <c r="FE728" s="1301">
        <f t="shared" si="33"/>
        <v>1372</v>
      </c>
      <c r="FF728" s="1302"/>
      <c r="FG728" s="1302"/>
      <c r="FH728" s="1302"/>
      <c r="FI728" s="1303"/>
      <c r="FJ728" s="1301" t="str">
        <f t="shared" si="34"/>
        <v/>
      </c>
      <c r="FK728" s="1302"/>
      <c r="FL728" s="1302"/>
      <c r="FM728" s="1302"/>
      <c r="FN728" s="1303"/>
      <c r="FO728" s="1301" t="str">
        <f t="shared" si="35"/>
        <v/>
      </c>
      <c r="FP728" s="1302"/>
      <c r="FQ728" s="1302"/>
      <c r="FR728" s="1302"/>
      <c r="FS728" s="1303"/>
      <c r="FT728" s="1301" t="str">
        <f t="shared" si="36"/>
        <v/>
      </c>
      <c r="FU728" s="1302"/>
      <c r="FV728" s="1302"/>
      <c r="FW728" s="1302"/>
      <c r="FX728" s="1303"/>
      <c r="FY728" s="1301" t="str">
        <f t="shared" si="37"/>
        <v/>
      </c>
      <c r="FZ728" s="1302"/>
      <c r="GA728" s="1302"/>
      <c r="GB728" s="1302"/>
      <c r="GC728" s="1303"/>
    </row>
    <row r="729" spans="1:185" ht="12.95" customHeight="1">
      <c r="B729" s="1305" t="s">
        <v>163</v>
      </c>
      <c r="C729" s="1306"/>
      <c r="D729" s="1306"/>
      <c r="E729" s="1306"/>
      <c r="F729" s="1307"/>
      <c r="G729" s="1314">
        <v>8</v>
      </c>
      <c r="H729" s="1315"/>
      <c r="I729" s="1315"/>
      <c r="J729" s="1316"/>
      <c r="K729" s="1524">
        <v>807</v>
      </c>
      <c r="L729" s="1525"/>
      <c r="M729" s="1525"/>
      <c r="N729" s="1526"/>
      <c r="O729" s="1320">
        <v>772</v>
      </c>
      <c r="P729" s="1321"/>
      <c r="Q729" s="1321"/>
      <c r="R729" s="1321"/>
      <c r="S729" s="1322"/>
      <c r="T729" s="1320">
        <v>96</v>
      </c>
      <c r="U729" s="1321"/>
      <c r="V729" s="1321"/>
      <c r="W729" s="1322"/>
      <c r="X729" s="1308">
        <f t="shared" si="10"/>
        <v>868</v>
      </c>
      <c r="Y729" s="1309"/>
      <c r="Z729" s="1309"/>
      <c r="AA729" s="1309"/>
      <c r="AB729" s="1310"/>
      <c r="AC729" s="1317">
        <v>0.3</v>
      </c>
      <c r="AD729" s="1318"/>
      <c r="AE729" s="1318"/>
      <c r="AF729" s="1318"/>
      <c r="AG729" s="1319"/>
      <c r="AH729" s="1311">
        <f t="shared" si="38"/>
        <v>0.29993089149965446</v>
      </c>
      <c r="AI729" s="1312"/>
      <c r="AJ729" s="1313"/>
      <c r="AK729" s="1305" t="s">
        <v>591</v>
      </c>
      <c r="AL729" s="1306"/>
      <c r="AM729" s="1306"/>
      <c r="AN729" s="1306"/>
      <c r="AO729" s="1307"/>
      <c r="AP729" s="3"/>
      <c r="AQ729" s="3"/>
      <c r="AR729" s="3"/>
      <c r="AS729" s="3"/>
      <c r="AY729" s="116"/>
      <c r="AZ729" s="118">
        <f t="shared" si="11"/>
        <v>2894</v>
      </c>
      <c r="BA729" s="3"/>
      <c r="BB729" s="3"/>
      <c r="BC729" s="3"/>
      <c r="BD729" s="3"/>
      <c r="BE729" s="204"/>
      <c r="BF729" s="294">
        <f t="shared" si="12"/>
        <v>8</v>
      </c>
      <c r="BG729" s="297">
        <f t="shared" si="13"/>
        <v>3.6363636363636362E-2</v>
      </c>
      <c r="BH729" s="298">
        <f t="shared" si="14"/>
        <v>1.0909090909090908E-2</v>
      </c>
      <c r="BI729" s="3"/>
      <c r="BJ729" s="3"/>
      <c r="BK729" s="3"/>
      <c r="BL729" s="3"/>
      <c r="BM729" s="3"/>
      <c r="BN729" s="3"/>
      <c r="BS729" s="294">
        <f t="shared" si="15"/>
        <v>8</v>
      </c>
      <c r="BT729" s="297">
        <f t="shared" si="16"/>
        <v>3.6363636363636362E-2</v>
      </c>
      <c r="BU729" s="298">
        <f t="shared" si="17"/>
        <v>1.0906577872714707E-2</v>
      </c>
      <c r="CC729" s="3"/>
      <c r="CD729" s="3"/>
      <c r="CE729" s="3"/>
      <c r="CF729" s="3"/>
      <c r="CG729" s="1301">
        <f t="shared" si="39"/>
        <v>0</v>
      </c>
      <c r="CH729" s="1303"/>
      <c r="CI729" s="1285">
        <f t="shared" si="40"/>
        <v>0</v>
      </c>
      <c r="CJ729" s="1287"/>
      <c r="CK729" s="1301">
        <f t="shared" si="18"/>
        <v>1</v>
      </c>
      <c r="CL729" s="1303"/>
      <c r="CM729" s="1285">
        <f t="shared" si="19"/>
        <v>8</v>
      </c>
      <c r="CN729" s="1287"/>
      <c r="CO729" s="3"/>
      <c r="CP729" s="1282">
        <f t="shared" si="20"/>
        <v>0</v>
      </c>
      <c r="CQ729" s="1283"/>
      <c r="CR729" s="1283"/>
      <c r="CS729" s="1283"/>
      <c r="CT729" s="1284"/>
      <c r="CU729" s="1304">
        <f t="shared" si="21"/>
        <v>0</v>
      </c>
      <c r="CV729" s="1304"/>
      <c r="CW729" s="1304"/>
      <c r="CX729" s="1304"/>
      <c r="CY729" s="1304"/>
      <c r="CZ729" s="1304">
        <f t="shared" si="22"/>
        <v>8</v>
      </c>
      <c r="DA729" s="1304"/>
      <c r="DB729" s="1304"/>
      <c r="DC729" s="1304"/>
      <c r="DD729" s="1304"/>
      <c r="DE729" s="1304">
        <f t="shared" si="23"/>
        <v>0</v>
      </c>
      <c r="DF729" s="1304"/>
      <c r="DG729" s="1304"/>
      <c r="DH729" s="1304"/>
      <c r="DI729" s="1304"/>
      <c r="DJ729" s="1304">
        <f t="shared" si="24"/>
        <v>0</v>
      </c>
      <c r="DK729" s="1304"/>
      <c r="DL729" s="1304"/>
      <c r="DM729" s="1304"/>
      <c r="DN729" s="1304"/>
      <c r="DO729" s="1304">
        <f t="shared" si="25"/>
        <v>0</v>
      </c>
      <c r="DP729" s="1304"/>
      <c r="DQ729" s="1304"/>
      <c r="DR729" s="1304"/>
      <c r="DS729" s="1304"/>
      <c r="DT729" s="6"/>
      <c r="DU729" s="1323">
        <f t="shared" si="26"/>
        <v>0</v>
      </c>
      <c r="DV729" s="1323"/>
      <c r="DW729" s="1323"/>
      <c r="DX729" s="1323"/>
      <c r="DY729" s="1323"/>
      <c r="DZ729" s="1323">
        <f t="shared" si="27"/>
        <v>0</v>
      </c>
      <c r="EA729" s="1323"/>
      <c r="EB729" s="1323"/>
      <c r="EC729" s="1323"/>
      <c r="ED729" s="1323"/>
      <c r="EE729" s="1323">
        <f t="shared" si="28"/>
        <v>8</v>
      </c>
      <c r="EF729" s="1323"/>
      <c r="EG729" s="1323"/>
      <c r="EH729" s="1323"/>
      <c r="EI729" s="1323"/>
      <c r="EJ729" s="1323">
        <f t="shared" si="29"/>
        <v>0</v>
      </c>
      <c r="EK729" s="1323"/>
      <c r="EL729" s="1323"/>
      <c r="EM729" s="1323"/>
      <c r="EN729" s="1323"/>
      <c r="EO729" s="1323">
        <f t="shared" si="30"/>
        <v>0</v>
      </c>
      <c r="EP729" s="1323"/>
      <c r="EQ729" s="1323"/>
      <c r="ER729" s="1323"/>
      <c r="ES729" s="1323"/>
      <c r="ET729" s="1323">
        <f t="shared" si="31"/>
        <v>0</v>
      </c>
      <c r="EU729" s="1323"/>
      <c r="EV729" s="1323"/>
      <c r="EW729" s="1323"/>
      <c r="EX729" s="1323"/>
      <c r="EZ729" s="1301" t="str">
        <f t="shared" si="32"/>
        <v/>
      </c>
      <c r="FA729" s="1302"/>
      <c r="FB729" s="1302"/>
      <c r="FC729" s="1302"/>
      <c r="FD729" s="1303"/>
      <c r="FE729" s="1301" t="str">
        <f t="shared" si="33"/>
        <v/>
      </c>
      <c r="FF729" s="1302"/>
      <c r="FG729" s="1302"/>
      <c r="FH729" s="1302"/>
      <c r="FI729" s="1303"/>
      <c r="FJ729" s="1301">
        <f t="shared" si="34"/>
        <v>772</v>
      </c>
      <c r="FK729" s="1302"/>
      <c r="FL729" s="1302"/>
      <c r="FM729" s="1302"/>
      <c r="FN729" s="1303"/>
      <c r="FO729" s="1301" t="str">
        <f t="shared" si="35"/>
        <v/>
      </c>
      <c r="FP729" s="1302"/>
      <c r="FQ729" s="1302"/>
      <c r="FR729" s="1302"/>
      <c r="FS729" s="1303"/>
      <c r="FT729" s="1301" t="str">
        <f t="shared" si="36"/>
        <v/>
      </c>
      <c r="FU729" s="1302"/>
      <c r="FV729" s="1302"/>
      <c r="FW729" s="1302"/>
      <c r="FX729" s="1303"/>
      <c r="FY729" s="1301" t="str">
        <f t="shared" si="37"/>
        <v/>
      </c>
      <c r="FZ729" s="1302"/>
      <c r="GA729" s="1302"/>
      <c r="GB729" s="1302"/>
      <c r="GC729" s="1303"/>
    </row>
    <row r="730" spans="1:185" ht="12.95" customHeight="1">
      <c r="B730" s="1305" t="s">
        <v>163</v>
      </c>
      <c r="C730" s="1306"/>
      <c r="D730" s="1306"/>
      <c r="E730" s="1306"/>
      <c r="F730" s="1307"/>
      <c r="G730" s="1314">
        <v>17</v>
      </c>
      <c r="H730" s="1315"/>
      <c r="I730" s="1315"/>
      <c r="J730" s="1316"/>
      <c r="K730" s="1524">
        <v>807</v>
      </c>
      <c r="L730" s="1525"/>
      <c r="M730" s="1525"/>
      <c r="N730" s="1526"/>
      <c r="O730" s="1320">
        <v>1351</v>
      </c>
      <c r="P730" s="1321"/>
      <c r="Q730" s="1321"/>
      <c r="R730" s="1321"/>
      <c r="S730" s="1322"/>
      <c r="T730" s="1320">
        <v>96</v>
      </c>
      <c r="U730" s="1321"/>
      <c r="V730" s="1321"/>
      <c r="W730" s="1322"/>
      <c r="X730" s="1308">
        <f t="shared" si="10"/>
        <v>1447</v>
      </c>
      <c r="Y730" s="1309"/>
      <c r="Z730" s="1309"/>
      <c r="AA730" s="1309"/>
      <c r="AB730" s="1310"/>
      <c r="AC730" s="1317">
        <v>0.5</v>
      </c>
      <c r="AD730" s="1318"/>
      <c r="AE730" s="1318"/>
      <c r="AF730" s="1318"/>
      <c r="AG730" s="1319"/>
      <c r="AH730" s="1311">
        <f t="shared" si="38"/>
        <v>0.5</v>
      </c>
      <c r="AI730" s="1312"/>
      <c r="AJ730" s="1313"/>
      <c r="AK730" s="1305" t="s">
        <v>591</v>
      </c>
      <c r="AL730" s="1306"/>
      <c r="AM730" s="1306"/>
      <c r="AN730" s="1306"/>
      <c r="AO730" s="1307"/>
      <c r="AP730" s="3"/>
      <c r="AQ730" s="3"/>
      <c r="AR730" s="3"/>
      <c r="AS730" s="3"/>
      <c r="AY730" s="116"/>
      <c r="AZ730" s="118">
        <f t="shared" si="11"/>
        <v>2894</v>
      </c>
      <c r="BA730" s="3"/>
      <c r="BB730" s="3"/>
      <c r="BC730" s="3"/>
      <c r="BD730" s="3"/>
      <c r="BE730" s="204"/>
      <c r="BF730" s="294">
        <f t="shared" si="12"/>
        <v>17</v>
      </c>
      <c r="BG730" s="297">
        <f t="shared" si="13"/>
        <v>7.7272727272727271E-2</v>
      </c>
      <c r="BH730" s="298">
        <f t="shared" si="14"/>
        <v>3.8636363636363635E-2</v>
      </c>
      <c r="BI730" s="3"/>
      <c r="BJ730" s="3"/>
      <c r="BK730" s="3"/>
      <c r="BL730" s="3"/>
      <c r="BM730" s="3"/>
      <c r="BN730" s="3"/>
      <c r="BS730" s="294">
        <f t="shared" si="15"/>
        <v>17</v>
      </c>
      <c r="BT730" s="297">
        <f t="shared" si="16"/>
        <v>7.7272727272727271E-2</v>
      </c>
      <c r="BU730" s="298">
        <f t="shared" si="17"/>
        <v>3.8636363636363635E-2</v>
      </c>
      <c r="CC730" s="3"/>
      <c r="CD730" s="3"/>
      <c r="CE730" s="3"/>
      <c r="CF730" s="3"/>
      <c r="CG730" s="1301">
        <f t="shared" si="39"/>
        <v>1</v>
      </c>
      <c r="CH730" s="1303"/>
      <c r="CI730" s="1285">
        <f t="shared" si="40"/>
        <v>17</v>
      </c>
      <c r="CJ730" s="1287"/>
      <c r="CK730" s="1301">
        <f t="shared" si="18"/>
        <v>0</v>
      </c>
      <c r="CL730" s="1303"/>
      <c r="CM730" s="1285">
        <f t="shared" si="19"/>
        <v>0</v>
      </c>
      <c r="CN730" s="1287"/>
      <c r="CO730" s="3"/>
      <c r="CP730" s="1282">
        <f t="shared" si="20"/>
        <v>0</v>
      </c>
      <c r="CQ730" s="1283"/>
      <c r="CR730" s="1283"/>
      <c r="CS730" s="1283"/>
      <c r="CT730" s="1284"/>
      <c r="CU730" s="1304">
        <f t="shared" si="21"/>
        <v>0</v>
      </c>
      <c r="CV730" s="1304"/>
      <c r="CW730" s="1304"/>
      <c r="CX730" s="1304"/>
      <c r="CY730" s="1304"/>
      <c r="CZ730" s="1304">
        <f t="shared" si="22"/>
        <v>17</v>
      </c>
      <c r="DA730" s="1304"/>
      <c r="DB730" s="1304"/>
      <c r="DC730" s="1304"/>
      <c r="DD730" s="1304"/>
      <c r="DE730" s="1304">
        <f t="shared" si="23"/>
        <v>0</v>
      </c>
      <c r="DF730" s="1304"/>
      <c r="DG730" s="1304"/>
      <c r="DH730" s="1304"/>
      <c r="DI730" s="1304"/>
      <c r="DJ730" s="1304">
        <f t="shared" si="24"/>
        <v>0</v>
      </c>
      <c r="DK730" s="1304"/>
      <c r="DL730" s="1304"/>
      <c r="DM730" s="1304"/>
      <c r="DN730" s="1304"/>
      <c r="DO730" s="1304">
        <f t="shared" si="25"/>
        <v>0</v>
      </c>
      <c r="DP730" s="1304"/>
      <c r="DQ730" s="1304"/>
      <c r="DR730" s="1304"/>
      <c r="DS730" s="1304"/>
      <c r="DT730" s="6"/>
      <c r="DU730" s="1323">
        <f t="shared" si="26"/>
        <v>0</v>
      </c>
      <c r="DV730" s="1323"/>
      <c r="DW730" s="1323"/>
      <c r="DX730" s="1323"/>
      <c r="DY730" s="1323"/>
      <c r="DZ730" s="1323">
        <f t="shared" si="27"/>
        <v>0</v>
      </c>
      <c r="EA730" s="1323"/>
      <c r="EB730" s="1323"/>
      <c r="EC730" s="1323"/>
      <c r="ED730" s="1323"/>
      <c r="EE730" s="1323">
        <f t="shared" si="28"/>
        <v>0</v>
      </c>
      <c r="EF730" s="1323"/>
      <c r="EG730" s="1323"/>
      <c r="EH730" s="1323"/>
      <c r="EI730" s="1323"/>
      <c r="EJ730" s="1323">
        <f t="shared" si="29"/>
        <v>0</v>
      </c>
      <c r="EK730" s="1323"/>
      <c r="EL730" s="1323"/>
      <c r="EM730" s="1323"/>
      <c r="EN730" s="1323"/>
      <c r="EO730" s="1323">
        <f t="shared" si="30"/>
        <v>0</v>
      </c>
      <c r="EP730" s="1323"/>
      <c r="EQ730" s="1323"/>
      <c r="ER730" s="1323"/>
      <c r="ES730" s="1323"/>
      <c r="ET730" s="1323">
        <f t="shared" si="31"/>
        <v>0</v>
      </c>
      <c r="EU730" s="1323"/>
      <c r="EV730" s="1323"/>
      <c r="EW730" s="1323"/>
      <c r="EX730" s="1323"/>
      <c r="EZ730" s="1301" t="str">
        <f t="shared" si="32"/>
        <v/>
      </c>
      <c r="FA730" s="1302"/>
      <c r="FB730" s="1302"/>
      <c r="FC730" s="1302"/>
      <c r="FD730" s="1303"/>
      <c r="FE730" s="1301" t="str">
        <f t="shared" si="33"/>
        <v/>
      </c>
      <c r="FF730" s="1302"/>
      <c r="FG730" s="1302"/>
      <c r="FH730" s="1302"/>
      <c r="FI730" s="1303"/>
      <c r="FJ730" s="1301">
        <f t="shared" si="34"/>
        <v>1351</v>
      </c>
      <c r="FK730" s="1302"/>
      <c r="FL730" s="1302"/>
      <c r="FM730" s="1302"/>
      <c r="FN730" s="1303"/>
      <c r="FO730" s="1301" t="str">
        <f t="shared" si="35"/>
        <v/>
      </c>
      <c r="FP730" s="1302"/>
      <c r="FQ730" s="1302"/>
      <c r="FR730" s="1302"/>
      <c r="FS730" s="1303"/>
      <c r="FT730" s="1301" t="str">
        <f t="shared" si="36"/>
        <v/>
      </c>
      <c r="FU730" s="1302"/>
      <c r="FV730" s="1302"/>
      <c r="FW730" s="1302"/>
      <c r="FX730" s="1303"/>
      <c r="FY730" s="1301" t="str">
        <f t="shared" si="37"/>
        <v/>
      </c>
      <c r="FZ730" s="1302"/>
      <c r="GA730" s="1302"/>
      <c r="GB730" s="1302"/>
      <c r="GC730" s="1303"/>
    </row>
    <row r="731" spans="1:185" ht="12.95" customHeight="1">
      <c r="B731" s="1305" t="s">
        <v>163</v>
      </c>
      <c r="C731" s="1306"/>
      <c r="D731" s="1306"/>
      <c r="E731" s="1306"/>
      <c r="F731" s="1307"/>
      <c r="G731" s="1314">
        <v>51</v>
      </c>
      <c r="H731" s="1315"/>
      <c r="I731" s="1315"/>
      <c r="J731" s="1316"/>
      <c r="K731" s="1524">
        <v>807</v>
      </c>
      <c r="L731" s="1525"/>
      <c r="M731" s="1525"/>
      <c r="N731" s="1526"/>
      <c r="O731" s="1320">
        <v>1641</v>
      </c>
      <c r="P731" s="1321"/>
      <c r="Q731" s="1321"/>
      <c r="R731" s="1321"/>
      <c r="S731" s="1322"/>
      <c r="T731" s="1320">
        <v>96</v>
      </c>
      <c r="U731" s="1321"/>
      <c r="V731" s="1321"/>
      <c r="W731" s="1322"/>
      <c r="X731" s="1308">
        <f t="shared" si="10"/>
        <v>1737</v>
      </c>
      <c r="Y731" s="1309"/>
      <c r="Z731" s="1309"/>
      <c r="AA731" s="1309"/>
      <c r="AB731" s="1310"/>
      <c r="AC731" s="1317">
        <v>0.6</v>
      </c>
      <c r="AD731" s="1318"/>
      <c r="AE731" s="1318"/>
      <c r="AF731" s="1318"/>
      <c r="AG731" s="1319"/>
      <c r="AH731" s="1311">
        <f t="shared" si="38"/>
        <v>0.60020732550103661</v>
      </c>
      <c r="AI731" s="1312"/>
      <c r="AJ731" s="1313"/>
      <c r="AK731" s="1305" t="s">
        <v>591</v>
      </c>
      <c r="AL731" s="1306"/>
      <c r="AM731" s="1306"/>
      <c r="AN731" s="1306"/>
      <c r="AO731" s="1307"/>
      <c r="AP731" s="3"/>
      <c r="AQ731" s="3"/>
      <c r="AR731" s="3"/>
      <c r="AS731" s="3"/>
      <c r="AY731" s="116"/>
      <c r="AZ731" s="118">
        <f t="shared" si="11"/>
        <v>2894</v>
      </c>
      <c r="BA731" s="3"/>
      <c r="BB731" s="3"/>
      <c r="BC731" s="3"/>
      <c r="BD731" s="3"/>
      <c r="BE731" s="204"/>
      <c r="BF731" s="294">
        <f t="shared" si="12"/>
        <v>51</v>
      </c>
      <c r="BG731" s="297">
        <f t="shared" si="13"/>
        <v>0.23181818181818181</v>
      </c>
      <c r="BH731" s="298">
        <f t="shared" si="14"/>
        <v>0.13909090909090907</v>
      </c>
      <c r="BI731" s="3"/>
      <c r="BJ731" s="3"/>
      <c r="BK731" s="3"/>
      <c r="BL731" s="3"/>
      <c r="BM731" s="3"/>
      <c r="BN731" s="3"/>
      <c r="BS731" s="294">
        <f t="shared" si="15"/>
        <v>51</v>
      </c>
      <c r="BT731" s="297">
        <f t="shared" si="16"/>
        <v>0.23181818181818181</v>
      </c>
      <c r="BU731" s="298">
        <f t="shared" si="17"/>
        <v>0.13913897091160393</v>
      </c>
      <c r="CC731" s="3"/>
      <c r="CD731" s="3"/>
      <c r="CE731" s="3"/>
      <c r="CF731" s="3"/>
      <c r="CG731" s="1301">
        <f t="shared" si="39"/>
        <v>0</v>
      </c>
      <c r="CH731" s="1303"/>
      <c r="CI731" s="1285">
        <f t="shared" si="40"/>
        <v>0</v>
      </c>
      <c r="CJ731" s="1287"/>
      <c r="CK731" s="1301">
        <f t="shared" si="18"/>
        <v>0</v>
      </c>
      <c r="CL731" s="1303"/>
      <c r="CM731" s="1285">
        <f t="shared" si="19"/>
        <v>0</v>
      </c>
      <c r="CN731" s="1287"/>
      <c r="CO731" s="3"/>
      <c r="CP731" s="1282">
        <f t="shared" si="20"/>
        <v>0</v>
      </c>
      <c r="CQ731" s="1283"/>
      <c r="CR731" s="1283"/>
      <c r="CS731" s="1283"/>
      <c r="CT731" s="1284"/>
      <c r="CU731" s="1304">
        <f t="shared" si="21"/>
        <v>0</v>
      </c>
      <c r="CV731" s="1304"/>
      <c r="CW731" s="1304"/>
      <c r="CX731" s="1304"/>
      <c r="CY731" s="1304"/>
      <c r="CZ731" s="1304">
        <f t="shared" si="22"/>
        <v>51</v>
      </c>
      <c r="DA731" s="1304"/>
      <c r="DB731" s="1304"/>
      <c r="DC731" s="1304"/>
      <c r="DD731" s="1304"/>
      <c r="DE731" s="1304">
        <f t="shared" si="23"/>
        <v>0</v>
      </c>
      <c r="DF731" s="1304"/>
      <c r="DG731" s="1304"/>
      <c r="DH731" s="1304"/>
      <c r="DI731" s="1304"/>
      <c r="DJ731" s="1304">
        <f t="shared" si="24"/>
        <v>0</v>
      </c>
      <c r="DK731" s="1304"/>
      <c r="DL731" s="1304"/>
      <c r="DM731" s="1304"/>
      <c r="DN731" s="1304"/>
      <c r="DO731" s="1304">
        <f t="shared" si="25"/>
        <v>0</v>
      </c>
      <c r="DP731" s="1304"/>
      <c r="DQ731" s="1304"/>
      <c r="DR731" s="1304"/>
      <c r="DS731" s="1304"/>
      <c r="DT731" s="6"/>
      <c r="DU731" s="1323">
        <f t="shared" si="26"/>
        <v>0</v>
      </c>
      <c r="DV731" s="1323"/>
      <c r="DW731" s="1323"/>
      <c r="DX731" s="1323"/>
      <c r="DY731" s="1323"/>
      <c r="DZ731" s="1323">
        <f t="shared" si="27"/>
        <v>0</v>
      </c>
      <c r="EA731" s="1323"/>
      <c r="EB731" s="1323"/>
      <c r="EC731" s="1323"/>
      <c r="ED731" s="1323"/>
      <c r="EE731" s="1323">
        <f t="shared" si="28"/>
        <v>0</v>
      </c>
      <c r="EF731" s="1323"/>
      <c r="EG731" s="1323"/>
      <c r="EH731" s="1323"/>
      <c r="EI731" s="1323"/>
      <c r="EJ731" s="1323">
        <f t="shared" si="29"/>
        <v>0</v>
      </c>
      <c r="EK731" s="1323"/>
      <c r="EL731" s="1323"/>
      <c r="EM731" s="1323"/>
      <c r="EN731" s="1323"/>
      <c r="EO731" s="1323">
        <f t="shared" si="30"/>
        <v>0</v>
      </c>
      <c r="EP731" s="1323"/>
      <c r="EQ731" s="1323"/>
      <c r="ER731" s="1323"/>
      <c r="ES731" s="1323"/>
      <c r="ET731" s="1323">
        <f t="shared" si="31"/>
        <v>0</v>
      </c>
      <c r="EU731" s="1323"/>
      <c r="EV731" s="1323"/>
      <c r="EW731" s="1323"/>
      <c r="EX731" s="1323"/>
      <c r="EZ731" s="1301" t="str">
        <f t="shared" si="32"/>
        <v/>
      </c>
      <c r="FA731" s="1302"/>
      <c r="FB731" s="1302"/>
      <c r="FC731" s="1302"/>
      <c r="FD731" s="1303"/>
      <c r="FE731" s="1301" t="str">
        <f t="shared" si="33"/>
        <v/>
      </c>
      <c r="FF731" s="1302"/>
      <c r="FG731" s="1302"/>
      <c r="FH731" s="1302"/>
      <c r="FI731" s="1303"/>
      <c r="FJ731" s="1301">
        <f t="shared" si="34"/>
        <v>1641</v>
      </c>
      <c r="FK731" s="1302"/>
      <c r="FL731" s="1302"/>
      <c r="FM731" s="1302"/>
      <c r="FN731" s="1303"/>
      <c r="FO731" s="1301" t="str">
        <f t="shared" si="35"/>
        <v/>
      </c>
      <c r="FP731" s="1302"/>
      <c r="FQ731" s="1302"/>
      <c r="FR731" s="1302"/>
      <c r="FS731" s="1303"/>
      <c r="FT731" s="1301" t="str">
        <f t="shared" si="36"/>
        <v/>
      </c>
      <c r="FU731" s="1302"/>
      <c r="FV731" s="1302"/>
      <c r="FW731" s="1302"/>
      <c r="FX731" s="1303"/>
      <c r="FY731" s="1301" t="str">
        <f t="shared" si="37"/>
        <v/>
      </c>
      <c r="FZ731" s="1302"/>
      <c r="GA731" s="1302"/>
      <c r="GB731" s="1302"/>
      <c r="GC731" s="1303"/>
    </row>
    <row r="732" spans="1:185" ht="12.95" customHeight="1">
      <c r="B732" s="1305"/>
      <c r="C732" s="1306"/>
      <c r="D732" s="1306"/>
      <c r="E732" s="1306"/>
      <c r="F732" s="1307"/>
      <c r="G732" s="1314"/>
      <c r="H732" s="1315"/>
      <c r="I732" s="1315"/>
      <c r="J732" s="1316"/>
      <c r="K732" s="1524"/>
      <c r="L732" s="1525"/>
      <c r="M732" s="1525"/>
      <c r="N732" s="1526"/>
      <c r="O732" s="1320"/>
      <c r="P732" s="1321"/>
      <c r="Q732" s="1321"/>
      <c r="R732" s="1321"/>
      <c r="S732" s="1322"/>
      <c r="T732" s="1320"/>
      <c r="U732" s="1321"/>
      <c r="V732" s="1321"/>
      <c r="W732" s="1322"/>
      <c r="X732" s="1308">
        <f t="shared" si="10"/>
        <v>0</v>
      </c>
      <c r="Y732" s="1309"/>
      <c r="Z732" s="1309"/>
      <c r="AA732" s="1309"/>
      <c r="AB732" s="1310"/>
      <c r="AC732" s="1317"/>
      <c r="AD732" s="1318"/>
      <c r="AE732" s="1318"/>
      <c r="AF732" s="1318"/>
      <c r="AG732" s="1319"/>
      <c r="AH732" s="1311" t="str">
        <f t="shared" si="38"/>
        <v/>
      </c>
      <c r="AI732" s="1312"/>
      <c r="AJ732" s="1313"/>
      <c r="AK732" s="1305" t="s">
        <v>591</v>
      </c>
      <c r="AL732" s="1306"/>
      <c r="AM732" s="1306"/>
      <c r="AN732" s="1306"/>
      <c r="AO732" s="1307"/>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01">
        <f t="shared" si="39"/>
        <v>0</v>
      </c>
      <c r="CH732" s="1303"/>
      <c r="CI732" s="1285">
        <f t="shared" si="40"/>
        <v>0</v>
      </c>
      <c r="CJ732" s="1287"/>
      <c r="CK732" s="1301">
        <f t="shared" si="18"/>
        <v>0</v>
      </c>
      <c r="CL732" s="1303"/>
      <c r="CM732" s="1285">
        <f t="shared" si="19"/>
        <v>0</v>
      </c>
      <c r="CN732" s="1287"/>
      <c r="CO732" s="3"/>
      <c r="CP732" s="1282">
        <f t="shared" si="20"/>
        <v>0</v>
      </c>
      <c r="CQ732" s="1283"/>
      <c r="CR732" s="1283"/>
      <c r="CS732" s="1283"/>
      <c r="CT732" s="1284"/>
      <c r="CU732" s="1304">
        <f t="shared" si="21"/>
        <v>0</v>
      </c>
      <c r="CV732" s="1304"/>
      <c r="CW732" s="1304"/>
      <c r="CX732" s="1304"/>
      <c r="CY732" s="1304"/>
      <c r="CZ732" s="1304">
        <f t="shared" si="22"/>
        <v>0</v>
      </c>
      <c r="DA732" s="1304"/>
      <c r="DB732" s="1304"/>
      <c r="DC732" s="1304"/>
      <c r="DD732" s="1304"/>
      <c r="DE732" s="1304">
        <f t="shared" si="23"/>
        <v>0</v>
      </c>
      <c r="DF732" s="1304"/>
      <c r="DG732" s="1304"/>
      <c r="DH732" s="1304"/>
      <c r="DI732" s="1304"/>
      <c r="DJ732" s="1304">
        <f t="shared" si="24"/>
        <v>0</v>
      </c>
      <c r="DK732" s="1304"/>
      <c r="DL732" s="1304"/>
      <c r="DM732" s="1304"/>
      <c r="DN732" s="1304"/>
      <c r="DO732" s="1304">
        <f t="shared" si="25"/>
        <v>0</v>
      </c>
      <c r="DP732" s="1304"/>
      <c r="DQ732" s="1304"/>
      <c r="DR732" s="1304"/>
      <c r="DS732" s="1304"/>
      <c r="DT732" s="6"/>
      <c r="DU732" s="1323">
        <f t="shared" si="26"/>
        <v>0</v>
      </c>
      <c r="DV732" s="1323"/>
      <c r="DW732" s="1323"/>
      <c r="DX732" s="1323"/>
      <c r="DY732" s="1323"/>
      <c r="DZ732" s="1323">
        <f t="shared" si="27"/>
        <v>0</v>
      </c>
      <c r="EA732" s="1323"/>
      <c r="EB732" s="1323"/>
      <c r="EC732" s="1323"/>
      <c r="ED732" s="1323"/>
      <c r="EE732" s="1323">
        <f t="shared" si="28"/>
        <v>0</v>
      </c>
      <c r="EF732" s="1323"/>
      <c r="EG732" s="1323"/>
      <c r="EH732" s="1323"/>
      <c r="EI732" s="1323"/>
      <c r="EJ732" s="1323">
        <f t="shared" si="29"/>
        <v>0</v>
      </c>
      <c r="EK732" s="1323"/>
      <c r="EL732" s="1323"/>
      <c r="EM732" s="1323"/>
      <c r="EN732" s="1323"/>
      <c r="EO732" s="1323">
        <f t="shared" si="30"/>
        <v>0</v>
      </c>
      <c r="EP732" s="1323"/>
      <c r="EQ732" s="1323"/>
      <c r="ER732" s="1323"/>
      <c r="ES732" s="1323"/>
      <c r="ET732" s="1323">
        <f t="shared" si="31"/>
        <v>0</v>
      </c>
      <c r="EU732" s="1323"/>
      <c r="EV732" s="1323"/>
      <c r="EW732" s="1323"/>
      <c r="EX732" s="1323"/>
      <c r="EZ732" s="1301" t="str">
        <f t="shared" si="32"/>
        <v/>
      </c>
      <c r="FA732" s="1302"/>
      <c r="FB732" s="1302"/>
      <c r="FC732" s="1302"/>
      <c r="FD732" s="1303"/>
      <c r="FE732" s="1301" t="str">
        <f t="shared" si="33"/>
        <v/>
      </c>
      <c r="FF732" s="1302"/>
      <c r="FG732" s="1302"/>
      <c r="FH732" s="1302"/>
      <c r="FI732" s="1303"/>
      <c r="FJ732" s="1301" t="str">
        <f t="shared" si="34"/>
        <v/>
      </c>
      <c r="FK732" s="1302"/>
      <c r="FL732" s="1302"/>
      <c r="FM732" s="1302"/>
      <c r="FN732" s="1303"/>
      <c r="FO732" s="1301" t="str">
        <f t="shared" si="35"/>
        <v/>
      </c>
      <c r="FP732" s="1302"/>
      <c r="FQ732" s="1302"/>
      <c r="FR732" s="1302"/>
      <c r="FS732" s="1303"/>
      <c r="FT732" s="1301" t="str">
        <f t="shared" si="36"/>
        <v/>
      </c>
      <c r="FU732" s="1302"/>
      <c r="FV732" s="1302"/>
      <c r="FW732" s="1302"/>
      <c r="FX732" s="1303"/>
      <c r="FY732" s="1301" t="str">
        <f t="shared" si="37"/>
        <v/>
      </c>
      <c r="FZ732" s="1302"/>
      <c r="GA732" s="1302"/>
      <c r="GB732" s="1302"/>
      <c r="GC732" s="1303"/>
    </row>
    <row r="733" spans="1:185" ht="12.95" customHeight="1">
      <c r="B733" s="1305"/>
      <c r="C733" s="1306"/>
      <c r="D733" s="1306"/>
      <c r="E733" s="1306"/>
      <c r="F733" s="1307"/>
      <c r="G733" s="1314"/>
      <c r="H733" s="1315"/>
      <c r="I733" s="1315"/>
      <c r="J733" s="1316"/>
      <c r="K733" s="1524"/>
      <c r="L733" s="1525"/>
      <c r="M733" s="1525"/>
      <c r="N733" s="1526"/>
      <c r="O733" s="1320"/>
      <c r="P733" s="1321"/>
      <c r="Q733" s="1321"/>
      <c r="R733" s="1321"/>
      <c r="S733" s="1322"/>
      <c r="T733" s="1320"/>
      <c r="U733" s="1321"/>
      <c r="V733" s="1321"/>
      <c r="W733" s="1322"/>
      <c r="X733" s="1308">
        <f t="shared" si="10"/>
        <v>0</v>
      </c>
      <c r="Y733" s="1309"/>
      <c r="Z733" s="1309"/>
      <c r="AA733" s="1309"/>
      <c r="AB733" s="1310"/>
      <c r="AC733" s="1317"/>
      <c r="AD733" s="1318"/>
      <c r="AE733" s="1318"/>
      <c r="AF733" s="1318"/>
      <c r="AG733" s="1319"/>
      <c r="AH733" s="1311" t="str">
        <f t="shared" si="38"/>
        <v/>
      </c>
      <c r="AI733" s="1312"/>
      <c r="AJ733" s="1313"/>
      <c r="AK733" s="1305" t="s">
        <v>591</v>
      </c>
      <c r="AL733" s="1306"/>
      <c r="AM733" s="1306"/>
      <c r="AN733" s="1306"/>
      <c r="AO733" s="1307"/>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01">
        <f t="shared" si="39"/>
        <v>0</v>
      </c>
      <c r="CH733" s="1303"/>
      <c r="CI733" s="1285">
        <f t="shared" si="40"/>
        <v>0</v>
      </c>
      <c r="CJ733" s="1287"/>
      <c r="CK733" s="1301">
        <f t="shared" si="18"/>
        <v>0</v>
      </c>
      <c r="CL733" s="1303"/>
      <c r="CM733" s="1285">
        <f t="shared" si="19"/>
        <v>0</v>
      </c>
      <c r="CN733" s="1287"/>
      <c r="CO733" s="3"/>
      <c r="CP733" s="1282">
        <f t="shared" si="20"/>
        <v>0</v>
      </c>
      <c r="CQ733" s="1283"/>
      <c r="CR733" s="1283"/>
      <c r="CS733" s="1283"/>
      <c r="CT733" s="1284"/>
      <c r="CU733" s="1304">
        <f t="shared" si="21"/>
        <v>0</v>
      </c>
      <c r="CV733" s="1304"/>
      <c r="CW733" s="1304"/>
      <c r="CX733" s="1304"/>
      <c r="CY733" s="1304"/>
      <c r="CZ733" s="1304">
        <f t="shared" si="22"/>
        <v>0</v>
      </c>
      <c r="DA733" s="1304"/>
      <c r="DB733" s="1304"/>
      <c r="DC733" s="1304"/>
      <c r="DD733" s="1304"/>
      <c r="DE733" s="1304">
        <f t="shared" si="23"/>
        <v>0</v>
      </c>
      <c r="DF733" s="1304"/>
      <c r="DG733" s="1304"/>
      <c r="DH733" s="1304"/>
      <c r="DI733" s="1304"/>
      <c r="DJ733" s="1304">
        <f t="shared" si="24"/>
        <v>0</v>
      </c>
      <c r="DK733" s="1304"/>
      <c r="DL733" s="1304"/>
      <c r="DM733" s="1304"/>
      <c r="DN733" s="1304"/>
      <c r="DO733" s="1304">
        <f t="shared" si="25"/>
        <v>0</v>
      </c>
      <c r="DP733" s="1304"/>
      <c r="DQ733" s="1304"/>
      <c r="DR733" s="1304"/>
      <c r="DS733" s="1304"/>
      <c r="DT733" s="6"/>
      <c r="DU733" s="1323">
        <f t="shared" si="26"/>
        <v>0</v>
      </c>
      <c r="DV733" s="1323"/>
      <c r="DW733" s="1323"/>
      <c r="DX733" s="1323"/>
      <c r="DY733" s="1323"/>
      <c r="DZ733" s="1323">
        <f t="shared" si="27"/>
        <v>0</v>
      </c>
      <c r="EA733" s="1323"/>
      <c r="EB733" s="1323"/>
      <c r="EC733" s="1323"/>
      <c r="ED733" s="1323"/>
      <c r="EE733" s="1323">
        <f t="shared" si="28"/>
        <v>0</v>
      </c>
      <c r="EF733" s="1323"/>
      <c r="EG733" s="1323"/>
      <c r="EH733" s="1323"/>
      <c r="EI733" s="1323"/>
      <c r="EJ733" s="1323">
        <f t="shared" si="29"/>
        <v>0</v>
      </c>
      <c r="EK733" s="1323"/>
      <c r="EL733" s="1323"/>
      <c r="EM733" s="1323"/>
      <c r="EN733" s="1323"/>
      <c r="EO733" s="1323">
        <f t="shared" si="30"/>
        <v>0</v>
      </c>
      <c r="EP733" s="1323"/>
      <c r="EQ733" s="1323"/>
      <c r="ER733" s="1323"/>
      <c r="ES733" s="1323"/>
      <c r="ET733" s="1323">
        <f t="shared" si="31"/>
        <v>0</v>
      </c>
      <c r="EU733" s="1323"/>
      <c r="EV733" s="1323"/>
      <c r="EW733" s="1323"/>
      <c r="EX733" s="1323"/>
      <c r="EZ733" s="1301" t="str">
        <f t="shared" si="32"/>
        <v/>
      </c>
      <c r="FA733" s="1302"/>
      <c r="FB733" s="1302"/>
      <c r="FC733" s="1302"/>
      <c r="FD733" s="1303"/>
      <c r="FE733" s="1301" t="str">
        <f t="shared" si="33"/>
        <v/>
      </c>
      <c r="FF733" s="1302"/>
      <c r="FG733" s="1302"/>
      <c r="FH733" s="1302"/>
      <c r="FI733" s="1303"/>
      <c r="FJ733" s="1301" t="str">
        <f t="shared" si="34"/>
        <v/>
      </c>
      <c r="FK733" s="1302"/>
      <c r="FL733" s="1302"/>
      <c r="FM733" s="1302"/>
      <c r="FN733" s="1303"/>
      <c r="FO733" s="1301" t="str">
        <f t="shared" si="35"/>
        <v/>
      </c>
      <c r="FP733" s="1302"/>
      <c r="FQ733" s="1302"/>
      <c r="FR733" s="1302"/>
      <c r="FS733" s="1303"/>
      <c r="FT733" s="1301" t="str">
        <f t="shared" si="36"/>
        <v/>
      </c>
      <c r="FU733" s="1302"/>
      <c r="FV733" s="1302"/>
      <c r="FW733" s="1302"/>
      <c r="FX733" s="1303"/>
      <c r="FY733" s="1301" t="str">
        <f t="shared" si="37"/>
        <v/>
      </c>
      <c r="FZ733" s="1302"/>
      <c r="GA733" s="1302"/>
      <c r="GB733" s="1302"/>
      <c r="GC733" s="1303"/>
    </row>
    <row r="734" spans="1:185" ht="12.95" customHeight="1">
      <c r="B734" s="1305"/>
      <c r="C734" s="1306"/>
      <c r="D734" s="1306"/>
      <c r="E734" s="1306"/>
      <c r="F734" s="1307"/>
      <c r="G734" s="1314"/>
      <c r="H734" s="1315"/>
      <c r="I734" s="1315"/>
      <c r="J734" s="1316"/>
      <c r="K734" s="1524"/>
      <c r="L734" s="1525"/>
      <c r="M734" s="1525"/>
      <c r="N734" s="1526"/>
      <c r="O734" s="1320"/>
      <c r="P734" s="1321"/>
      <c r="Q734" s="1321"/>
      <c r="R734" s="1321"/>
      <c r="S734" s="1322"/>
      <c r="T734" s="1320"/>
      <c r="U734" s="1321"/>
      <c r="V734" s="1321"/>
      <c r="W734" s="1322"/>
      <c r="X734" s="1308">
        <f t="shared" si="10"/>
        <v>0</v>
      </c>
      <c r="Y734" s="1309"/>
      <c r="Z734" s="1309"/>
      <c r="AA734" s="1309"/>
      <c r="AB734" s="1310"/>
      <c r="AC734" s="1317"/>
      <c r="AD734" s="1318"/>
      <c r="AE734" s="1318"/>
      <c r="AF734" s="1318"/>
      <c r="AG734" s="1319"/>
      <c r="AH734" s="1311" t="str">
        <f t="shared" si="38"/>
        <v/>
      </c>
      <c r="AI734" s="1312"/>
      <c r="AJ734" s="1313"/>
      <c r="AK734" s="1305" t="s">
        <v>591</v>
      </c>
      <c r="AL734" s="1306"/>
      <c r="AM734" s="1306"/>
      <c r="AN734" s="1306"/>
      <c r="AO734" s="1307"/>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01">
        <f t="shared" si="39"/>
        <v>0</v>
      </c>
      <c r="CH734" s="1303"/>
      <c r="CI734" s="1285">
        <f t="shared" si="40"/>
        <v>0</v>
      </c>
      <c r="CJ734" s="1287"/>
      <c r="CK734" s="1301">
        <f t="shared" si="18"/>
        <v>0</v>
      </c>
      <c r="CL734" s="1303"/>
      <c r="CM734" s="1285">
        <f t="shared" si="19"/>
        <v>0</v>
      </c>
      <c r="CN734" s="1287"/>
      <c r="CO734" s="3"/>
      <c r="CP734" s="1282">
        <f t="shared" si="20"/>
        <v>0</v>
      </c>
      <c r="CQ734" s="1283"/>
      <c r="CR734" s="1283"/>
      <c r="CS734" s="1283"/>
      <c r="CT734" s="1284"/>
      <c r="CU734" s="1304">
        <f t="shared" si="21"/>
        <v>0</v>
      </c>
      <c r="CV734" s="1304"/>
      <c r="CW734" s="1304"/>
      <c r="CX734" s="1304"/>
      <c r="CY734" s="1304"/>
      <c r="CZ734" s="1304">
        <f t="shared" si="22"/>
        <v>0</v>
      </c>
      <c r="DA734" s="1304"/>
      <c r="DB734" s="1304"/>
      <c r="DC734" s="1304"/>
      <c r="DD734" s="1304"/>
      <c r="DE734" s="1304">
        <f t="shared" si="23"/>
        <v>0</v>
      </c>
      <c r="DF734" s="1304"/>
      <c r="DG734" s="1304"/>
      <c r="DH734" s="1304"/>
      <c r="DI734" s="1304"/>
      <c r="DJ734" s="1304">
        <f t="shared" si="24"/>
        <v>0</v>
      </c>
      <c r="DK734" s="1304"/>
      <c r="DL734" s="1304"/>
      <c r="DM734" s="1304"/>
      <c r="DN734" s="1304"/>
      <c r="DO734" s="1304">
        <f t="shared" si="25"/>
        <v>0</v>
      </c>
      <c r="DP734" s="1304"/>
      <c r="DQ734" s="1304"/>
      <c r="DR734" s="1304"/>
      <c r="DS734" s="1304"/>
      <c r="DT734" s="6"/>
      <c r="DU734" s="1323">
        <f t="shared" si="26"/>
        <v>0</v>
      </c>
      <c r="DV734" s="1323"/>
      <c r="DW734" s="1323"/>
      <c r="DX734" s="1323"/>
      <c r="DY734" s="1323"/>
      <c r="DZ734" s="1323">
        <f t="shared" si="27"/>
        <v>0</v>
      </c>
      <c r="EA734" s="1323"/>
      <c r="EB734" s="1323"/>
      <c r="EC734" s="1323"/>
      <c r="ED734" s="1323"/>
      <c r="EE734" s="1323">
        <f t="shared" si="28"/>
        <v>0</v>
      </c>
      <c r="EF734" s="1323"/>
      <c r="EG734" s="1323"/>
      <c r="EH734" s="1323"/>
      <c r="EI734" s="1323"/>
      <c r="EJ734" s="1323">
        <f t="shared" si="29"/>
        <v>0</v>
      </c>
      <c r="EK734" s="1323"/>
      <c r="EL734" s="1323"/>
      <c r="EM734" s="1323"/>
      <c r="EN734" s="1323"/>
      <c r="EO734" s="1323">
        <f t="shared" si="30"/>
        <v>0</v>
      </c>
      <c r="EP734" s="1323"/>
      <c r="EQ734" s="1323"/>
      <c r="ER734" s="1323"/>
      <c r="ES734" s="1323"/>
      <c r="ET734" s="1323">
        <f t="shared" si="31"/>
        <v>0</v>
      </c>
      <c r="EU734" s="1323"/>
      <c r="EV734" s="1323"/>
      <c r="EW734" s="1323"/>
      <c r="EX734" s="1323"/>
      <c r="EY734" s="4"/>
      <c r="EZ734" s="1301" t="str">
        <f t="shared" si="32"/>
        <v/>
      </c>
      <c r="FA734" s="1302"/>
      <c r="FB734" s="1302"/>
      <c r="FC734" s="1302"/>
      <c r="FD734" s="1303"/>
      <c r="FE734" s="1301" t="str">
        <f t="shared" si="33"/>
        <v/>
      </c>
      <c r="FF734" s="1302"/>
      <c r="FG734" s="1302"/>
      <c r="FH734" s="1302"/>
      <c r="FI734" s="1303"/>
      <c r="FJ734" s="1301" t="str">
        <f t="shared" si="34"/>
        <v/>
      </c>
      <c r="FK734" s="1302"/>
      <c r="FL734" s="1302"/>
      <c r="FM734" s="1302"/>
      <c r="FN734" s="1303"/>
      <c r="FO734" s="1301" t="str">
        <f t="shared" si="35"/>
        <v/>
      </c>
      <c r="FP734" s="1302"/>
      <c r="FQ734" s="1302"/>
      <c r="FR734" s="1302"/>
      <c r="FS734" s="1303"/>
      <c r="FT734" s="1301" t="str">
        <f t="shared" si="36"/>
        <v/>
      </c>
      <c r="FU734" s="1302"/>
      <c r="FV734" s="1302"/>
      <c r="FW734" s="1302"/>
      <c r="FX734" s="1303"/>
      <c r="FY734" s="1301" t="str">
        <f t="shared" si="37"/>
        <v/>
      </c>
      <c r="FZ734" s="1302"/>
      <c r="GA734" s="1302"/>
      <c r="GB734" s="1302"/>
      <c r="GC734" s="1303"/>
    </row>
    <row r="735" spans="1:185" ht="12.95" customHeight="1">
      <c r="A735" s="4"/>
      <c r="B735" s="1305"/>
      <c r="C735" s="1306"/>
      <c r="D735" s="1306"/>
      <c r="E735" s="1306"/>
      <c r="F735" s="1307"/>
      <c r="G735" s="1314"/>
      <c r="H735" s="1315"/>
      <c r="I735" s="1315"/>
      <c r="J735" s="1316"/>
      <c r="K735" s="1524"/>
      <c r="L735" s="1525"/>
      <c r="M735" s="1525"/>
      <c r="N735" s="1526"/>
      <c r="O735" s="1320"/>
      <c r="P735" s="1321"/>
      <c r="Q735" s="1321"/>
      <c r="R735" s="1321"/>
      <c r="S735" s="1322"/>
      <c r="T735" s="1320"/>
      <c r="U735" s="1321"/>
      <c r="V735" s="1321"/>
      <c r="W735" s="1322"/>
      <c r="X735" s="1308">
        <f t="shared" si="10"/>
        <v>0</v>
      </c>
      <c r="Y735" s="1309"/>
      <c r="Z735" s="1309"/>
      <c r="AA735" s="1309"/>
      <c r="AB735" s="1310"/>
      <c r="AC735" s="1317"/>
      <c r="AD735" s="1318"/>
      <c r="AE735" s="1318"/>
      <c r="AF735" s="1318"/>
      <c r="AG735" s="1319"/>
      <c r="AH735" s="1311" t="str">
        <f t="shared" si="38"/>
        <v/>
      </c>
      <c r="AI735" s="1312"/>
      <c r="AJ735" s="1313"/>
      <c r="AK735" s="1305" t="s">
        <v>591</v>
      </c>
      <c r="AL735" s="1306"/>
      <c r="AM735" s="1306"/>
      <c r="AN735" s="1306"/>
      <c r="AO735" s="1307"/>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01">
        <f t="shared" si="39"/>
        <v>0</v>
      </c>
      <c r="CH735" s="1303"/>
      <c r="CI735" s="1285">
        <f t="shared" si="40"/>
        <v>0</v>
      </c>
      <c r="CJ735" s="1287"/>
      <c r="CK735" s="1301">
        <f t="shared" si="18"/>
        <v>0</v>
      </c>
      <c r="CL735" s="1303"/>
      <c r="CM735" s="1285">
        <f t="shared" si="19"/>
        <v>0</v>
      </c>
      <c r="CN735" s="1287"/>
      <c r="CO735" s="3"/>
      <c r="CP735" s="1282">
        <f t="shared" si="20"/>
        <v>0</v>
      </c>
      <c r="CQ735" s="1283"/>
      <c r="CR735" s="1283"/>
      <c r="CS735" s="1283"/>
      <c r="CT735" s="1284"/>
      <c r="CU735" s="1304">
        <f t="shared" si="21"/>
        <v>0</v>
      </c>
      <c r="CV735" s="1304"/>
      <c r="CW735" s="1304"/>
      <c r="CX735" s="1304"/>
      <c r="CY735" s="1304"/>
      <c r="CZ735" s="1304">
        <f t="shared" si="22"/>
        <v>0</v>
      </c>
      <c r="DA735" s="1304"/>
      <c r="DB735" s="1304"/>
      <c r="DC735" s="1304"/>
      <c r="DD735" s="1304"/>
      <c r="DE735" s="1304">
        <f t="shared" si="23"/>
        <v>0</v>
      </c>
      <c r="DF735" s="1304"/>
      <c r="DG735" s="1304"/>
      <c r="DH735" s="1304"/>
      <c r="DI735" s="1304"/>
      <c r="DJ735" s="1304">
        <f t="shared" si="24"/>
        <v>0</v>
      </c>
      <c r="DK735" s="1304"/>
      <c r="DL735" s="1304"/>
      <c r="DM735" s="1304"/>
      <c r="DN735" s="1304"/>
      <c r="DO735" s="1304">
        <f t="shared" si="25"/>
        <v>0</v>
      </c>
      <c r="DP735" s="1304"/>
      <c r="DQ735" s="1304"/>
      <c r="DR735" s="1304"/>
      <c r="DS735" s="1304"/>
      <c r="DT735" s="6"/>
      <c r="DU735" s="1323">
        <f t="shared" si="26"/>
        <v>0</v>
      </c>
      <c r="DV735" s="1323"/>
      <c r="DW735" s="1323"/>
      <c r="DX735" s="1323"/>
      <c r="DY735" s="1323"/>
      <c r="DZ735" s="1323">
        <f t="shared" si="27"/>
        <v>0</v>
      </c>
      <c r="EA735" s="1323"/>
      <c r="EB735" s="1323"/>
      <c r="EC735" s="1323"/>
      <c r="ED735" s="1323"/>
      <c r="EE735" s="1323">
        <f t="shared" si="28"/>
        <v>0</v>
      </c>
      <c r="EF735" s="1323"/>
      <c r="EG735" s="1323"/>
      <c r="EH735" s="1323"/>
      <c r="EI735" s="1323"/>
      <c r="EJ735" s="1323">
        <f t="shared" si="29"/>
        <v>0</v>
      </c>
      <c r="EK735" s="1323"/>
      <c r="EL735" s="1323"/>
      <c r="EM735" s="1323"/>
      <c r="EN735" s="1323"/>
      <c r="EO735" s="1323">
        <f t="shared" si="30"/>
        <v>0</v>
      </c>
      <c r="EP735" s="1323"/>
      <c r="EQ735" s="1323"/>
      <c r="ER735" s="1323"/>
      <c r="ES735" s="1323"/>
      <c r="ET735" s="1323">
        <f t="shared" si="31"/>
        <v>0</v>
      </c>
      <c r="EU735" s="1323"/>
      <c r="EV735" s="1323"/>
      <c r="EW735" s="1323"/>
      <c r="EX735" s="1323"/>
      <c r="EY735" s="4"/>
      <c r="EZ735" s="1301" t="str">
        <f t="shared" si="32"/>
        <v/>
      </c>
      <c r="FA735" s="1302"/>
      <c r="FB735" s="1302"/>
      <c r="FC735" s="1302"/>
      <c r="FD735" s="1303"/>
      <c r="FE735" s="1301" t="str">
        <f t="shared" si="33"/>
        <v/>
      </c>
      <c r="FF735" s="1302"/>
      <c r="FG735" s="1302"/>
      <c r="FH735" s="1302"/>
      <c r="FI735" s="1303"/>
      <c r="FJ735" s="1301" t="str">
        <f t="shared" si="34"/>
        <v/>
      </c>
      <c r="FK735" s="1302"/>
      <c r="FL735" s="1302"/>
      <c r="FM735" s="1302"/>
      <c r="FN735" s="1303"/>
      <c r="FO735" s="1301" t="str">
        <f t="shared" si="35"/>
        <v/>
      </c>
      <c r="FP735" s="1302"/>
      <c r="FQ735" s="1302"/>
      <c r="FR735" s="1302"/>
      <c r="FS735" s="1303"/>
      <c r="FT735" s="1301" t="str">
        <f t="shared" si="36"/>
        <v/>
      </c>
      <c r="FU735" s="1302"/>
      <c r="FV735" s="1302"/>
      <c r="FW735" s="1302"/>
      <c r="FX735" s="1303"/>
      <c r="FY735" s="1301" t="str">
        <f t="shared" si="37"/>
        <v/>
      </c>
      <c r="FZ735" s="1302"/>
      <c r="GA735" s="1302"/>
      <c r="GB735" s="1302"/>
      <c r="GC735" s="1303"/>
    </row>
    <row r="736" spans="1:185" ht="12.95" customHeight="1">
      <c r="A736" s="4"/>
      <c r="B736" s="1305"/>
      <c r="C736" s="1306"/>
      <c r="D736" s="1306"/>
      <c r="E736" s="1306"/>
      <c r="F736" s="1307"/>
      <c r="G736" s="1314"/>
      <c r="H736" s="1315"/>
      <c r="I736" s="1315"/>
      <c r="J736" s="1316"/>
      <c r="K736" s="1524"/>
      <c r="L736" s="1525"/>
      <c r="M736" s="1525"/>
      <c r="N736" s="1526"/>
      <c r="O736" s="1320"/>
      <c r="P736" s="1321"/>
      <c r="Q736" s="1321"/>
      <c r="R736" s="1321"/>
      <c r="S736" s="1322"/>
      <c r="T736" s="1320"/>
      <c r="U736" s="1321"/>
      <c r="V736" s="1321"/>
      <c r="W736" s="1322"/>
      <c r="X736" s="1308">
        <f t="shared" si="10"/>
        <v>0</v>
      </c>
      <c r="Y736" s="1309"/>
      <c r="Z736" s="1309"/>
      <c r="AA736" s="1309"/>
      <c r="AB736" s="1310"/>
      <c r="AC736" s="1317"/>
      <c r="AD736" s="1318"/>
      <c r="AE736" s="1318"/>
      <c r="AF736" s="1318"/>
      <c r="AG736" s="1319"/>
      <c r="AH736" s="1311" t="str">
        <f t="shared" si="38"/>
        <v/>
      </c>
      <c r="AI736" s="1312"/>
      <c r="AJ736" s="1313"/>
      <c r="AK736" s="1305" t="s">
        <v>591</v>
      </c>
      <c r="AL736" s="1306"/>
      <c r="AM736" s="1306"/>
      <c r="AN736" s="1306"/>
      <c r="AO736" s="1307"/>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01">
        <f t="shared" si="39"/>
        <v>0</v>
      </c>
      <c r="CH736" s="1303"/>
      <c r="CI736" s="1285">
        <f t="shared" si="40"/>
        <v>0</v>
      </c>
      <c r="CJ736" s="1287"/>
      <c r="CK736" s="1301">
        <f t="shared" si="18"/>
        <v>0</v>
      </c>
      <c r="CL736" s="1303"/>
      <c r="CM736" s="1285">
        <f t="shared" si="19"/>
        <v>0</v>
      </c>
      <c r="CN736" s="1287"/>
      <c r="CO736" s="3"/>
      <c r="CP736" s="1282">
        <f t="shared" si="20"/>
        <v>0</v>
      </c>
      <c r="CQ736" s="1283"/>
      <c r="CR736" s="1283"/>
      <c r="CS736" s="1283"/>
      <c r="CT736" s="1284"/>
      <c r="CU736" s="1304">
        <f t="shared" si="21"/>
        <v>0</v>
      </c>
      <c r="CV736" s="1304"/>
      <c r="CW736" s="1304"/>
      <c r="CX736" s="1304"/>
      <c r="CY736" s="1304"/>
      <c r="CZ736" s="1304">
        <f t="shared" si="22"/>
        <v>0</v>
      </c>
      <c r="DA736" s="1304"/>
      <c r="DB736" s="1304"/>
      <c r="DC736" s="1304"/>
      <c r="DD736" s="1304"/>
      <c r="DE736" s="1304">
        <f t="shared" si="23"/>
        <v>0</v>
      </c>
      <c r="DF736" s="1304"/>
      <c r="DG736" s="1304"/>
      <c r="DH736" s="1304"/>
      <c r="DI736" s="1304"/>
      <c r="DJ736" s="1304">
        <f t="shared" si="24"/>
        <v>0</v>
      </c>
      <c r="DK736" s="1304"/>
      <c r="DL736" s="1304"/>
      <c r="DM736" s="1304"/>
      <c r="DN736" s="1304"/>
      <c r="DO736" s="1304">
        <f t="shared" si="25"/>
        <v>0</v>
      </c>
      <c r="DP736" s="1304"/>
      <c r="DQ736" s="1304"/>
      <c r="DR736" s="1304"/>
      <c r="DS736" s="1304"/>
      <c r="DT736" s="6"/>
      <c r="DU736" s="1323">
        <f t="shared" si="26"/>
        <v>0</v>
      </c>
      <c r="DV736" s="1323"/>
      <c r="DW736" s="1323"/>
      <c r="DX736" s="1323"/>
      <c r="DY736" s="1323"/>
      <c r="DZ736" s="1323">
        <f t="shared" si="27"/>
        <v>0</v>
      </c>
      <c r="EA736" s="1323"/>
      <c r="EB736" s="1323"/>
      <c r="EC736" s="1323"/>
      <c r="ED736" s="1323"/>
      <c r="EE736" s="1323">
        <f t="shared" si="28"/>
        <v>0</v>
      </c>
      <c r="EF736" s="1323"/>
      <c r="EG736" s="1323"/>
      <c r="EH736" s="1323"/>
      <c r="EI736" s="1323"/>
      <c r="EJ736" s="1323">
        <f t="shared" si="29"/>
        <v>0</v>
      </c>
      <c r="EK736" s="1323"/>
      <c r="EL736" s="1323"/>
      <c r="EM736" s="1323"/>
      <c r="EN736" s="1323"/>
      <c r="EO736" s="1323">
        <f t="shared" si="30"/>
        <v>0</v>
      </c>
      <c r="EP736" s="1323"/>
      <c r="EQ736" s="1323"/>
      <c r="ER736" s="1323"/>
      <c r="ES736" s="1323"/>
      <c r="ET736" s="1323">
        <f t="shared" si="31"/>
        <v>0</v>
      </c>
      <c r="EU736" s="1323"/>
      <c r="EV736" s="1323"/>
      <c r="EW736" s="1323"/>
      <c r="EX736" s="1323"/>
      <c r="EY736" s="4"/>
      <c r="EZ736" s="1301" t="str">
        <f t="shared" si="32"/>
        <v/>
      </c>
      <c r="FA736" s="1302"/>
      <c r="FB736" s="1302"/>
      <c r="FC736" s="1302"/>
      <c r="FD736" s="1303"/>
      <c r="FE736" s="1301" t="str">
        <f t="shared" si="33"/>
        <v/>
      </c>
      <c r="FF736" s="1302"/>
      <c r="FG736" s="1302"/>
      <c r="FH736" s="1302"/>
      <c r="FI736" s="1303"/>
      <c r="FJ736" s="1301" t="str">
        <f t="shared" si="34"/>
        <v/>
      </c>
      <c r="FK736" s="1302"/>
      <c r="FL736" s="1302"/>
      <c r="FM736" s="1302"/>
      <c r="FN736" s="1303"/>
      <c r="FO736" s="1301" t="str">
        <f t="shared" si="35"/>
        <v/>
      </c>
      <c r="FP736" s="1302"/>
      <c r="FQ736" s="1302"/>
      <c r="FR736" s="1302"/>
      <c r="FS736" s="1303"/>
      <c r="FT736" s="1301" t="str">
        <f t="shared" si="36"/>
        <v/>
      </c>
      <c r="FU736" s="1302"/>
      <c r="FV736" s="1302"/>
      <c r="FW736" s="1302"/>
      <c r="FX736" s="1303"/>
      <c r="FY736" s="1301" t="str">
        <f t="shared" si="37"/>
        <v/>
      </c>
      <c r="FZ736" s="1302"/>
      <c r="GA736" s="1302"/>
      <c r="GB736" s="1302"/>
      <c r="GC736" s="1303"/>
    </row>
    <row r="737" spans="1:185" ht="12.95" customHeight="1">
      <c r="A737" s="4"/>
      <c r="B737" s="1305"/>
      <c r="C737" s="1306"/>
      <c r="D737" s="1306"/>
      <c r="E737" s="1306"/>
      <c r="F737" s="1307"/>
      <c r="G737" s="1314"/>
      <c r="H737" s="1315"/>
      <c r="I737" s="1315"/>
      <c r="J737" s="1316"/>
      <c r="K737" s="1524"/>
      <c r="L737" s="1525"/>
      <c r="M737" s="1525"/>
      <c r="N737" s="1526"/>
      <c r="O737" s="1320"/>
      <c r="P737" s="1321"/>
      <c r="Q737" s="1321"/>
      <c r="R737" s="1321"/>
      <c r="S737" s="1322"/>
      <c r="T737" s="1320"/>
      <c r="U737" s="1321"/>
      <c r="V737" s="1321"/>
      <c r="W737" s="1322"/>
      <c r="X737" s="1308">
        <f t="shared" si="10"/>
        <v>0</v>
      </c>
      <c r="Y737" s="1309"/>
      <c r="Z737" s="1309"/>
      <c r="AA737" s="1309"/>
      <c r="AB737" s="1310"/>
      <c r="AC737" s="1317"/>
      <c r="AD737" s="1318"/>
      <c r="AE737" s="1318"/>
      <c r="AF737" s="1318"/>
      <c r="AG737" s="1319"/>
      <c r="AH737" s="1311" t="str">
        <f t="shared" si="38"/>
        <v/>
      </c>
      <c r="AI737" s="1312"/>
      <c r="AJ737" s="1313"/>
      <c r="AK737" s="1305" t="s">
        <v>591</v>
      </c>
      <c r="AL737" s="1306"/>
      <c r="AM737" s="1306"/>
      <c r="AN737" s="1306"/>
      <c r="AO737" s="1307"/>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01">
        <f t="shared" si="39"/>
        <v>0</v>
      </c>
      <c r="CH737" s="1303"/>
      <c r="CI737" s="1285">
        <f t="shared" si="40"/>
        <v>0</v>
      </c>
      <c r="CJ737" s="1287"/>
      <c r="CK737" s="1301">
        <f t="shared" si="18"/>
        <v>0</v>
      </c>
      <c r="CL737" s="1303"/>
      <c r="CM737" s="1285">
        <f t="shared" si="19"/>
        <v>0</v>
      </c>
      <c r="CN737" s="1287"/>
      <c r="CO737" s="3"/>
      <c r="CP737" s="1282">
        <f t="shared" si="20"/>
        <v>0</v>
      </c>
      <c r="CQ737" s="1283"/>
      <c r="CR737" s="1283"/>
      <c r="CS737" s="1283"/>
      <c r="CT737" s="1284"/>
      <c r="CU737" s="1304">
        <f t="shared" si="21"/>
        <v>0</v>
      </c>
      <c r="CV737" s="1304"/>
      <c r="CW737" s="1304"/>
      <c r="CX737" s="1304"/>
      <c r="CY737" s="1304"/>
      <c r="CZ737" s="1304">
        <f t="shared" si="22"/>
        <v>0</v>
      </c>
      <c r="DA737" s="1304"/>
      <c r="DB737" s="1304"/>
      <c r="DC737" s="1304"/>
      <c r="DD737" s="1304"/>
      <c r="DE737" s="1304">
        <f t="shared" si="23"/>
        <v>0</v>
      </c>
      <c r="DF737" s="1304"/>
      <c r="DG737" s="1304"/>
      <c r="DH737" s="1304"/>
      <c r="DI737" s="1304"/>
      <c r="DJ737" s="1304">
        <f t="shared" si="24"/>
        <v>0</v>
      </c>
      <c r="DK737" s="1304"/>
      <c r="DL737" s="1304"/>
      <c r="DM737" s="1304"/>
      <c r="DN737" s="1304"/>
      <c r="DO737" s="1304">
        <f t="shared" si="25"/>
        <v>0</v>
      </c>
      <c r="DP737" s="1304"/>
      <c r="DQ737" s="1304"/>
      <c r="DR737" s="1304"/>
      <c r="DS737" s="1304"/>
      <c r="DT737" s="6"/>
      <c r="DU737" s="1323">
        <f t="shared" si="26"/>
        <v>0</v>
      </c>
      <c r="DV737" s="1323"/>
      <c r="DW737" s="1323"/>
      <c r="DX737" s="1323"/>
      <c r="DY737" s="1323"/>
      <c r="DZ737" s="1323">
        <f t="shared" si="27"/>
        <v>0</v>
      </c>
      <c r="EA737" s="1323"/>
      <c r="EB737" s="1323"/>
      <c r="EC737" s="1323"/>
      <c r="ED737" s="1323"/>
      <c r="EE737" s="1323">
        <f t="shared" si="28"/>
        <v>0</v>
      </c>
      <c r="EF737" s="1323"/>
      <c r="EG737" s="1323"/>
      <c r="EH737" s="1323"/>
      <c r="EI737" s="1323"/>
      <c r="EJ737" s="1323">
        <f t="shared" si="29"/>
        <v>0</v>
      </c>
      <c r="EK737" s="1323"/>
      <c r="EL737" s="1323"/>
      <c r="EM737" s="1323"/>
      <c r="EN737" s="1323"/>
      <c r="EO737" s="1323">
        <f t="shared" si="30"/>
        <v>0</v>
      </c>
      <c r="EP737" s="1323"/>
      <c r="EQ737" s="1323"/>
      <c r="ER737" s="1323"/>
      <c r="ES737" s="1323"/>
      <c r="ET737" s="1323">
        <f t="shared" si="31"/>
        <v>0</v>
      </c>
      <c r="EU737" s="1323"/>
      <c r="EV737" s="1323"/>
      <c r="EW737" s="1323"/>
      <c r="EX737" s="1323"/>
      <c r="EZ737" s="1301" t="str">
        <f t="shared" si="32"/>
        <v/>
      </c>
      <c r="FA737" s="1302"/>
      <c r="FB737" s="1302"/>
      <c r="FC737" s="1302"/>
      <c r="FD737" s="1303"/>
      <c r="FE737" s="1301" t="str">
        <f t="shared" si="33"/>
        <v/>
      </c>
      <c r="FF737" s="1302"/>
      <c r="FG737" s="1302"/>
      <c r="FH737" s="1302"/>
      <c r="FI737" s="1303"/>
      <c r="FJ737" s="1301" t="str">
        <f t="shared" si="34"/>
        <v/>
      </c>
      <c r="FK737" s="1302"/>
      <c r="FL737" s="1302"/>
      <c r="FM737" s="1302"/>
      <c r="FN737" s="1303"/>
      <c r="FO737" s="1301" t="str">
        <f t="shared" si="35"/>
        <v/>
      </c>
      <c r="FP737" s="1302"/>
      <c r="FQ737" s="1302"/>
      <c r="FR737" s="1302"/>
      <c r="FS737" s="1303"/>
      <c r="FT737" s="1301" t="str">
        <f t="shared" si="36"/>
        <v/>
      </c>
      <c r="FU737" s="1302"/>
      <c r="FV737" s="1302"/>
      <c r="FW737" s="1302"/>
      <c r="FX737" s="1303"/>
      <c r="FY737" s="1301" t="str">
        <f t="shared" si="37"/>
        <v/>
      </c>
      <c r="FZ737" s="1302"/>
      <c r="GA737" s="1302"/>
      <c r="GB737" s="1302"/>
      <c r="GC737" s="1303"/>
    </row>
    <row r="738" spans="1:185" ht="12.95" customHeight="1">
      <c r="B738" s="1305"/>
      <c r="C738" s="1306"/>
      <c r="D738" s="1306"/>
      <c r="E738" s="1306"/>
      <c r="F738" s="1307"/>
      <c r="G738" s="1314"/>
      <c r="H738" s="1315"/>
      <c r="I738" s="1315"/>
      <c r="J738" s="1316"/>
      <c r="K738" s="1524"/>
      <c r="L738" s="1525"/>
      <c r="M738" s="1525"/>
      <c r="N738" s="1526"/>
      <c r="O738" s="1320"/>
      <c r="P738" s="1321"/>
      <c r="Q738" s="1321"/>
      <c r="R738" s="1321"/>
      <c r="S738" s="1322"/>
      <c r="T738" s="1320"/>
      <c r="U738" s="1321"/>
      <c r="V738" s="1321"/>
      <c r="W738" s="1322"/>
      <c r="X738" s="1308">
        <f t="shared" si="10"/>
        <v>0</v>
      </c>
      <c r="Y738" s="1309"/>
      <c r="Z738" s="1309"/>
      <c r="AA738" s="1309"/>
      <c r="AB738" s="1310"/>
      <c r="AC738" s="1317"/>
      <c r="AD738" s="1318"/>
      <c r="AE738" s="1318"/>
      <c r="AF738" s="1318"/>
      <c r="AG738" s="1319"/>
      <c r="AH738" s="1311" t="str">
        <f t="shared" si="38"/>
        <v/>
      </c>
      <c r="AI738" s="1312"/>
      <c r="AJ738" s="1313"/>
      <c r="AK738" s="1305" t="s">
        <v>591</v>
      </c>
      <c r="AL738" s="1306"/>
      <c r="AM738" s="1306"/>
      <c r="AN738" s="1306"/>
      <c r="AO738" s="1307"/>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01">
        <f t="shared" si="39"/>
        <v>0</v>
      </c>
      <c r="CH738" s="1303"/>
      <c r="CI738" s="1285">
        <f t="shared" si="40"/>
        <v>0</v>
      </c>
      <c r="CJ738" s="1287"/>
      <c r="CK738" s="1301">
        <f t="shared" si="18"/>
        <v>0</v>
      </c>
      <c r="CL738" s="1303"/>
      <c r="CM738" s="1285">
        <f t="shared" si="19"/>
        <v>0</v>
      </c>
      <c r="CN738" s="1287"/>
      <c r="CO738" s="3"/>
      <c r="CP738" s="1282">
        <f t="shared" si="20"/>
        <v>0</v>
      </c>
      <c r="CQ738" s="1283"/>
      <c r="CR738" s="1283"/>
      <c r="CS738" s="1283"/>
      <c r="CT738" s="1284"/>
      <c r="CU738" s="1304">
        <f t="shared" si="21"/>
        <v>0</v>
      </c>
      <c r="CV738" s="1304"/>
      <c r="CW738" s="1304"/>
      <c r="CX738" s="1304"/>
      <c r="CY738" s="1304"/>
      <c r="CZ738" s="1304">
        <f t="shared" si="22"/>
        <v>0</v>
      </c>
      <c r="DA738" s="1304"/>
      <c r="DB738" s="1304"/>
      <c r="DC738" s="1304"/>
      <c r="DD738" s="1304"/>
      <c r="DE738" s="1304">
        <f t="shared" si="23"/>
        <v>0</v>
      </c>
      <c r="DF738" s="1304"/>
      <c r="DG738" s="1304"/>
      <c r="DH738" s="1304"/>
      <c r="DI738" s="1304"/>
      <c r="DJ738" s="1304">
        <f t="shared" si="24"/>
        <v>0</v>
      </c>
      <c r="DK738" s="1304"/>
      <c r="DL738" s="1304"/>
      <c r="DM738" s="1304"/>
      <c r="DN738" s="1304"/>
      <c r="DO738" s="1304">
        <f t="shared" si="25"/>
        <v>0</v>
      </c>
      <c r="DP738" s="1304"/>
      <c r="DQ738" s="1304"/>
      <c r="DR738" s="1304"/>
      <c r="DS738" s="1304"/>
      <c r="DT738" s="6"/>
      <c r="DU738" s="1323">
        <f t="shared" si="26"/>
        <v>0</v>
      </c>
      <c r="DV738" s="1323"/>
      <c r="DW738" s="1323"/>
      <c r="DX738" s="1323"/>
      <c r="DY738" s="1323"/>
      <c r="DZ738" s="1323">
        <f t="shared" si="27"/>
        <v>0</v>
      </c>
      <c r="EA738" s="1323"/>
      <c r="EB738" s="1323"/>
      <c r="EC738" s="1323"/>
      <c r="ED738" s="1323"/>
      <c r="EE738" s="1323">
        <f t="shared" si="28"/>
        <v>0</v>
      </c>
      <c r="EF738" s="1323"/>
      <c r="EG738" s="1323"/>
      <c r="EH738" s="1323"/>
      <c r="EI738" s="1323"/>
      <c r="EJ738" s="1323">
        <f t="shared" si="29"/>
        <v>0</v>
      </c>
      <c r="EK738" s="1323"/>
      <c r="EL738" s="1323"/>
      <c r="EM738" s="1323"/>
      <c r="EN738" s="1323"/>
      <c r="EO738" s="1323">
        <f t="shared" si="30"/>
        <v>0</v>
      </c>
      <c r="EP738" s="1323"/>
      <c r="EQ738" s="1323"/>
      <c r="ER738" s="1323"/>
      <c r="ES738" s="1323"/>
      <c r="ET738" s="1323">
        <f t="shared" si="31"/>
        <v>0</v>
      </c>
      <c r="EU738" s="1323"/>
      <c r="EV738" s="1323"/>
      <c r="EW738" s="1323"/>
      <c r="EX738" s="1323"/>
      <c r="EZ738" s="1301" t="str">
        <f t="shared" si="32"/>
        <v/>
      </c>
      <c r="FA738" s="1302"/>
      <c r="FB738" s="1302"/>
      <c r="FC738" s="1302"/>
      <c r="FD738" s="1303"/>
      <c r="FE738" s="1301" t="str">
        <f t="shared" si="33"/>
        <v/>
      </c>
      <c r="FF738" s="1302"/>
      <c r="FG738" s="1302"/>
      <c r="FH738" s="1302"/>
      <c r="FI738" s="1303"/>
      <c r="FJ738" s="1301" t="str">
        <f t="shared" si="34"/>
        <v/>
      </c>
      <c r="FK738" s="1302"/>
      <c r="FL738" s="1302"/>
      <c r="FM738" s="1302"/>
      <c r="FN738" s="1303"/>
      <c r="FO738" s="1301" t="str">
        <f t="shared" si="35"/>
        <v/>
      </c>
      <c r="FP738" s="1302"/>
      <c r="FQ738" s="1302"/>
      <c r="FR738" s="1302"/>
      <c r="FS738" s="1303"/>
      <c r="FT738" s="1301" t="str">
        <f t="shared" si="36"/>
        <v/>
      </c>
      <c r="FU738" s="1302"/>
      <c r="FV738" s="1302"/>
      <c r="FW738" s="1302"/>
      <c r="FX738" s="1303"/>
      <c r="FY738" s="1301" t="str">
        <f t="shared" si="37"/>
        <v/>
      </c>
      <c r="FZ738" s="1302"/>
      <c r="GA738" s="1302"/>
      <c r="GB738" s="1302"/>
      <c r="GC738" s="1303"/>
    </row>
    <row r="739" spans="1:185" ht="12.95" customHeight="1">
      <c r="B739" s="1305"/>
      <c r="C739" s="1306"/>
      <c r="D739" s="1306"/>
      <c r="E739" s="1306"/>
      <c r="F739" s="1307"/>
      <c r="G739" s="1314"/>
      <c r="H739" s="1315"/>
      <c r="I739" s="1315"/>
      <c r="J739" s="1316"/>
      <c r="K739" s="1524"/>
      <c r="L739" s="1525"/>
      <c r="M739" s="1525"/>
      <c r="N739" s="1526"/>
      <c r="O739" s="1320"/>
      <c r="P739" s="1321"/>
      <c r="Q739" s="1321"/>
      <c r="R739" s="1321"/>
      <c r="S739" s="1322"/>
      <c r="T739" s="1320"/>
      <c r="U739" s="1321"/>
      <c r="V739" s="1321"/>
      <c r="W739" s="1322"/>
      <c r="X739" s="1308">
        <f t="shared" si="10"/>
        <v>0</v>
      </c>
      <c r="Y739" s="1309"/>
      <c r="Z739" s="1309"/>
      <c r="AA739" s="1309"/>
      <c r="AB739" s="1310"/>
      <c r="AC739" s="1317"/>
      <c r="AD739" s="1318"/>
      <c r="AE739" s="1318"/>
      <c r="AF739" s="1318"/>
      <c r="AG739" s="1319"/>
      <c r="AH739" s="1311" t="str">
        <f t="shared" si="38"/>
        <v/>
      </c>
      <c r="AI739" s="1312"/>
      <c r="AJ739" s="1313"/>
      <c r="AK739" s="1305" t="s">
        <v>591</v>
      </c>
      <c r="AL739" s="1306"/>
      <c r="AM739" s="1306"/>
      <c r="AN739" s="1306"/>
      <c r="AO739" s="1307"/>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01">
        <f t="shared" si="39"/>
        <v>0</v>
      </c>
      <c r="CH739" s="1303"/>
      <c r="CI739" s="1285">
        <f t="shared" si="40"/>
        <v>0</v>
      </c>
      <c r="CJ739" s="1287"/>
      <c r="CK739" s="1301">
        <f t="shared" si="18"/>
        <v>0</v>
      </c>
      <c r="CL739" s="1303"/>
      <c r="CM739" s="1285">
        <f t="shared" si="19"/>
        <v>0</v>
      </c>
      <c r="CN739" s="1287"/>
      <c r="CO739" s="3"/>
      <c r="CP739" s="1282">
        <f t="shared" si="20"/>
        <v>0</v>
      </c>
      <c r="CQ739" s="1283"/>
      <c r="CR739" s="1283"/>
      <c r="CS739" s="1283"/>
      <c r="CT739" s="1284"/>
      <c r="CU739" s="1304">
        <f t="shared" si="21"/>
        <v>0</v>
      </c>
      <c r="CV739" s="1304"/>
      <c r="CW739" s="1304"/>
      <c r="CX739" s="1304"/>
      <c r="CY739" s="1304"/>
      <c r="CZ739" s="1304">
        <f t="shared" si="22"/>
        <v>0</v>
      </c>
      <c r="DA739" s="1304"/>
      <c r="DB739" s="1304"/>
      <c r="DC739" s="1304"/>
      <c r="DD739" s="1304"/>
      <c r="DE739" s="1304">
        <f t="shared" si="23"/>
        <v>0</v>
      </c>
      <c r="DF739" s="1304"/>
      <c r="DG739" s="1304"/>
      <c r="DH739" s="1304"/>
      <c r="DI739" s="1304"/>
      <c r="DJ739" s="1304">
        <f t="shared" si="24"/>
        <v>0</v>
      </c>
      <c r="DK739" s="1304"/>
      <c r="DL739" s="1304"/>
      <c r="DM739" s="1304"/>
      <c r="DN739" s="1304"/>
      <c r="DO739" s="1304">
        <f t="shared" si="25"/>
        <v>0</v>
      </c>
      <c r="DP739" s="1304"/>
      <c r="DQ739" s="1304"/>
      <c r="DR739" s="1304"/>
      <c r="DS739" s="1304"/>
      <c r="DT739" s="6"/>
      <c r="DU739" s="1323">
        <f t="shared" si="26"/>
        <v>0</v>
      </c>
      <c r="DV739" s="1323"/>
      <c r="DW739" s="1323"/>
      <c r="DX739" s="1323"/>
      <c r="DY739" s="1323"/>
      <c r="DZ739" s="1323">
        <f t="shared" si="27"/>
        <v>0</v>
      </c>
      <c r="EA739" s="1323"/>
      <c r="EB739" s="1323"/>
      <c r="EC739" s="1323"/>
      <c r="ED739" s="1323"/>
      <c r="EE739" s="1323">
        <f t="shared" si="28"/>
        <v>0</v>
      </c>
      <c r="EF739" s="1323"/>
      <c r="EG739" s="1323"/>
      <c r="EH739" s="1323"/>
      <c r="EI739" s="1323"/>
      <c r="EJ739" s="1323">
        <f t="shared" si="29"/>
        <v>0</v>
      </c>
      <c r="EK739" s="1323"/>
      <c r="EL739" s="1323"/>
      <c r="EM739" s="1323"/>
      <c r="EN739" s="1323"/>
      <c r="EO739" s="1323">
        <f t="shared" si="30"/>
        <v>0</v>
      </c>
      <c r="EP739" s="1323"/>
      <c r="EQ739" s="1323"/>
      <c r="ER739" s="1323"/>
      <c r="ES739" s="1323"/>
      <c r="ET739" s="1323">
        <f t="shared" si="31"/>
        <v>0</v>
      </c>
      <c r="EU739" s="1323"/>
      <c r="EV739" s="1323"/>
      <c r="EW739" s="1323"/>
      <c r="EX739" s="1323"/>
      <c r="EZ739" s="1301" t="str">
        <f t="shared" si="32"/>
        <v/>
      </c>
      <c r="FA739" s="1302"/>
      <c r="FB739" s="1302"/>
      <c r="FC739" s="1302"/>
      <c r="FD739" s="1303"/>
      <c r="FE739" s="1301" t="str">
        <f t="shared" si="33"/>
        <v/>
      </c>
      <c r="FF739" s="1302"/>
      <c r="FG739" s="1302"/>
      <c r="FH739" s="1302"/>
      <c r="FI739" s="1303"/>
      <c r="FJ739" s="1301" t="str">
        <f t="shared" si="34"/>
        <v/>
      </c>
      <c r="FK739" s="1302"/>
      <c r="FL739" s="1302"/>
      <c r="FM739" s="1302"/>
      <c r="FN739" s="1303"/>
      <c r="FO739" s="1301" t="str">
        <f t="shared" si="35"/>
        <v/>
      </c>
      <c r="FP739" s="1302"/>
      <c r="FQ739" s="1302"/>
      <c r="FR739" s="1302"/>
      <c r="FS739" s="1303"/>
      <c r="FT739" s="1301" t="str">
        <f t="shared" si="36"/>
        <v/>
      </c>
      <c r="FU739" s="1302"/>
      <c r="FV739" s="1302"/>
      <c r="FW739" s="1302"/>
      <c r="FX739" s="1303"/>
      <c r="FY739" s="1301" t="str">
        <f t="shared" si="37"/>
        <v/>
      </c>
      <c r="FZ739" s="1302"/>
      <c r="GA739" s="1302"/>
      <c r="GB739" s="1302"/>
      <c r="GC739" s="1303"/>
    </row>
    <row r="740" spans="1:185" ht="12.95" customHeight="1">
      <c r="B740" s="1305"/>
      <c r="C740" s="1306"/>
      <c r="D740" s="1306"/>
      <c r="E740" s="1306"/>
      <c r="F740" s="1307"/>
      <c r="G740" s="1314"/>
      <c r="H740" s="1315"/>
      <c r="I740" s="1315"/>
      <c r="J740" s="1316"/>
      <c r="K740" s="1524"/>
      <c r="L740" s="1525"/>
      <c r="M740" s="1525"/>
      <c r="N740" s="1526"/>
      <c r="O740" s="1320"/>
      <c r="P740" s="1321"/>
      <c r="Q740" s="1321"/>
      <c r="R740" s="1321"/>
      <c r="S740" s="1322"/>
      <c r="T740" s="1320"/>
      <c r="U740" s="1321"/>
      <c r="V740" s="1321"/>
      <c r="W740" s="1322"/>
      <c r="X740" s="1308">
        <f t="shared" si="10"/>
        <v>0</v>
      </c>
      <c r="Y740" s="1309"/>
      <c r="Z740" s="1309"/>
      <c r="AA740" s="1309"/>
      <c r="AB740" s="1310"/>
      <c r="AC740" s="1317"/>
      <c r="AD740" s="1318"/>
      <c r="AE740" s="1318"/>
      <c r="AF740" s="1318"/>
      <c r="AG740" s="1319"/>
      <c r="AH740" s="1311" t="str">
        <f t="shared" si="38"/>
        <v/>
      </c>
      <c r="AI740" s="1312"/>
      <c r="AJ740" s="1313"/>
      <c r="AK740" s="1305" t="s">
        <v>591</v>
      </c>
      <c r="AL740" s="1306"/>
      <c r="AM740" s="1306"/>
      <c r="AN740" s="1306"/>
      <c r="AO740" s="1307"/>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01">
        <f t="shared" si="39"/>
        <v>0</v>
      </c>
      <c r="CH740" s="1303"/>
      <c r="CI740" s="1285">
        <f t="shared" si="40"/>
        <v>0</v>
      </c>
      <c r="CJ740" s="1287"/>
      <c r="CK740" s="1301">
        <f t="shared" si="18"/>
        <v>0</v>
      </c>
      <c r="CL740" s="1303"/>
      <c r="CM740" s="1285">
        <f t="shared" si="19"/>
        <v>0</v>
      </c>
      <c r="CN740" s="1287"/>
      <c r="CO740" s="3"/>
      <c r="CP740" s="1282">
        <f t="shared" si="20"/>
        <v>0</v>
      </c>
      <c r="CQ740" s="1283"/>
      <c r="CR740" s="1283"/>
      <c r="CS740" s="1283"/>
      <c r="CT740" s="1284"/>
      <c r="CU740" s="1304">
        <f t="shared" si="21"/>
        <v>0</v>
      </c>
      <c r="CV740" s="1304"/>
      <c r="CW740" s="1304"/>
      <c r="CX740" s="1304"/>
      <c r="CY740" s="1304"/>
      <c r="CZ740" s="1304">
        <f t="shared" si="22"/>
        <v>0</v>
      </c>
      <c r="DA740" s="1304"/>
      <c r="DB740" s="1304"/>
      <c r="DC740" s="1304"/>
      <c r="DD740" s="1304"/>
      <c r="DE740" s="1304">
        <f t="shared" si="23"/>
        <v>0</v>
      </c>
      <c r="DF740" s="1304"/>
      <c r="DG740" s="1304"/>
      <c r="DH740" s="1304"/>
      <c r="DI740" s="1304"/>
      <c r="DJ740" s="1304">
        <f t="shared" si="24"/>
        <v>0</v>
      </c>
      <c r="DK740" s="1304"/>
      <c r="DL740" s="1304"/>
      <c r="DM740" s="1304"/>
      <c r="DN740" s="1304"/>
      <c r="DO740" s="1304">
        <f t="shared" si="25"/>
        <v>0</v>
      </c>
      <c r="DP740" s="1304"/>
      <c r="DQ740" s="1304"/>
      <c r="DR740" s="1304"/>
      <c r="DS740" s="1304"/>
      <c r="DT740" s="6"/>
      <c r="DU740" s="1323">
        <f t="shared" si="26"/>
        <v>0</v>
      </c>
      <c r="DV740" s="1323"/>
      <c r="DW740" s="1323"/>
      <c r="DX740" s="1323"/>
      <c r="DY740" s="1323"/>
      <c r="DZ740" s="1323">
        <f t="shared" si="27"/>
        <v>0</v>
      </c>
      <c r="EA740" s="1323"/>
      <c r="EB740" s="1323"/>
      <c r="EC740" s="1323"/>
      <c r="ED740" s="1323"/>
      <c r="EE740" s="1323">
        <f t="shared" si="28"/>
        <v>0</v>
      </c>
      <c r="EF740" s="1323"/>
      <c r="EG740" s="1323"/>
      <c r="EH740" s="1323"/>
      <c r="EI740" s="1323"/>
      <c r="EJ740" s="1323">
        <f t="shared" si="29"/>
        <v>0</v>
      </c>
      <c r="EK740" s="1323"/>
      <c r="EL740" s="1323"/>
      <c r="EM740" s="1323"/>
      <c r="EN740" s="1323"/>
      <c r="EO740" s="1323">
        <f t="shared" si="30"/>
        <v>0</v>
      </c>
      <c r="EP740" s="1323"/>
      <c r="EQ740" s="1323"/>
      <c r="ER740" s="1323"/>
      <c r="ES740" s="1323"/>
      <c r="ET740" s="1323">
        <f t="shared" si="31"/>
        <v>0</v>
      </c>
      <c r="EU740" s="1323"/>
      <c r="EV740" s="1323"/>
      <c r="EW740" s="1323"/>
      <c r="EX740" s="1323"/>
      <c r="EZ740" s="1301" t="str">
        <f t="shared" si="32"/>
        <v/>
      </c>
      <c r="FA740" s="1302"/>
      <c r="FB740" s="1302"/>
      <c r="FC740" s="1302"/>
      <c r="FD740" s="1303"/>
      <c r="FE740" s="1301" t="str">
        <f t="shared" si="33"/>
        <v/>
      </c>
      <c r="FF740" s="1302"/>
      <c r="FG740" s="1302"/>
      <c r="FH740" s="1302"/>
      <c r="FI740" s="1303"/>
      <c r="FJ740" s="1301" t="str">
        <f t="shared" si="34"/>
        <v/>
      </c>
      <c r="FK740" s="1302"/>
      <c r="FL740" s="1302"/>
      <c r="FM740" s="1302"/>
      <c r="FN740" s="1303"/>
      <c r="FO740" s="1301" t="str">
        <f t="shared" si="35"/>
        <v/>
      </c>
      <c r="FP740" s="1302"/>
      <c r="FQ740" s="1302"/>
      <c r="FR740" s="1302"/>
      <c r="FS740" s="1303"/>
      <c r="FT740" s="1301" t="str">
        <f t="shared" si="36"/>
        <v/>
      </c>
      <c r="FU740" s="1302"/>
      <c r="FV740" s="1302"/>
      <c r="FW740" s="1302"/>
      <c r="FX740" s="1303"/>
      <c r="FY740" s="1301" t="str">
        <f t="shared" si="37"/>
        <v/>
      </c>
      <c r="FZ740" s="1302"/>
      <c r="GA740" s="1302"/>
      <c r="GB740" s="1302"/>
      <c r="GC740" s="1303"/>
    </row>
    <row r="741" spans="1:185" ht="12.95" customHeight="1">
      <c r="B741" s="1305"/>
      <c r="C741" s="1306"/>
      <c r="D741" s="1306"/>
      <c r="E741" s="1306"/>
      <c r="F741" s="1307"/>
      <c r="G741" s="1314"/>
      <c r="H741" s="1315"/>
      <c r="I741" s="1315"/>
      <c r="J741" s="1316"/>
      <c r="K741" s="1524"/>
      <c r="L741" s="1525"/>
      <c r="M741" s="1525"/>
      <c r="N741" s="1526"/>
      <c r="O741" s="1320"/>
      <c r="P741" s="1321"/>
      <c r="Q741" s="1321"/>
      <c r="R741" s="1321"/>
      <c r="S741" s="1322"/>
      <c r="T741" s="1320"/>
      <c r="U741" s="1321"/>
      <c r="V741" s="1321"/>
      <c r="W741" s="1322"/>
      <c r="X741" s="1308">
        <f t="shared" si="10"/>
        <v>0</v>
      </c>
      <c r="Y741" s="1309"/>
      <c r="Z741" s="1309"/>
      <c r="AA741" s="1309"/>
      <c r="AB741" s="1310"/>
      <c r="AC741" s="1317"/>
      <c r="AD741" s="1318"/>
      <c r="AE741" s="1318"/>
      <c r="AF741" s="1318"/>
      <c r="AG741" s="1319"/>
      <c r="AH741" s="1311" t="str">
        <f t="shared" si="38"/>
        <v/>
      </c>
      <c r="AI741" s="1312"/>
      <c r="AJ741" s="1313"/>
      <c r="AK741" s="1305" t="s">
        <v>591</v>
      </c>
      <c r="AL741" s="1306"/>
      <c r="AM741" s="1306"/>
      <c r="AN741" s="1306"/>
      <c r="AO741" s="1307"/>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01">
        <f t="shared" si="39"/>
        <v>0</v>
      </c>
      <c r="CH741" s="1303"/>
      <c r="CI741" s="1285">
        <f t="shared" si="40"/>
        <v>0</v>
      </c>
      <c r="CJ741" s="1287"/>
      <c r="CK741" s="1301">
        <f t="shared" si="18"/>
        <v>0</v>
      </c>
      <c r="CL741" s="1303"/>
      <c r="CM741" s="1285">
        <f t="shared" si="19"/>
        <v>0</v>
      </c>
      <c r="CN741" s="1287"/>
      <c r="CO741" s="3"/>
      <c r="CP741" s="1282">
        <f t="shared" si="20"/>
        <v>0</v>
      </c>
      <c r="CQ741" s="1283"/>
      <c r="CR741" s="1283"/>
      <c r="CS741" s="1283"/>
      <c r="CT741" s="1284"/>
      <c r="CU741" s="1304">
        <f t="shared" si="21"/>
        <v>0</v>
      </c>
      <c r="CV741" s="1304"/>
      <c r="CW741" s="1304"/>
      <c r="CX741" s="1304"/>
      <c r="CY741" s="1304"/>
      <c r="CZ741" s="1304">
        <f t="shared" si="22"/>
        <v>0</v>
      </c>
      <c r="DA741" s="1304"/>
      <c r="DB741" s="1304"/>
      <c r="DC741" s="1304"/>
      <c r="DD741" s="1304"/>
      <c r="DE741" s="1304">
        <f t="shared" si="23"/>
        <v>0</v>
      </c>
      <c r="DF741" s="1304"/>
      <c r="DG741" s="1304"/>
      <c r="DH741" s="1304"/>
      <c r="DI741" s="1304"/>
      <c r="DJ741" s="1304">
        <f t="shared" si="24"/>
        <v>0</v>
      </c>
      <c r="DK741" s="1304"/>
      <c r="DL741" s="1304"/>
      <c r="DM741" s="1304"/>
      <c r="DN741" s="1304"/>
      <c r="DO741" s="1304">
        <f t="shared" si="25"/>
        <v>0</v>
      </c>
      <c r="DP741" s="1304"/>
      <c r="DQ741" s="1304"/>
      <c r="DR741" s="1304"/>
      <c r="DS741" s="1304"/>
      <c r="DT741" s="6"/>
      <c r="DU741" s="1323">
        <f t="shared" si="26"/>
        <v>0</v>
      </c>
      <c r="DV741" s="1323"/>
      <c r="DW741" s="1323"/>
      <c r="DX741" s="1323"/>
      <c r="DY741" s="1323"/>
      <c r="DZ741" s="1323">
        <f t="shared" si="27"/>
        <v>0</v>
      </c>
      <c r="EA741" s="1323"/>
      <c r="EB741" s="1323"/>
      <c r="EC741" s="1323"/>
      <c r="ED741" s="1323"/>
      <c r="EE741" s="1323">
        <f t="shared" si="28"/>
        <v>0</v>
      </c>
      <c r="EF741" s="1323"/>
      <c r="EG741" s="1323"/>
      <c r="EH741" s="1323"/>
      <c r="EI741" s="1323"/>
      <c r="EJ741" s="1323">
        <f t="shared" si="29"/>
        <v>0</v>
      </c>
      <c r="EK741" s="1323"/>
      <c r="EL741" s="1323"/>
      <c r="EM741" s="1323"/>
      <c r="EN741" s="1323"/>
      <c r="EO741" s="1323">
        <f t="shared" si="30"/>
        <v>0</v>
      </c>
      <c r="EP741" s="1323"/>
      <c r="EQ741" s="1323"/>
      <c r="ER741" s="1323"/>
      <c r="ES741" s="1323"/>
      <c r="ET741" s="1323">
        <f t="shared" si="31"/>
        <v>0</v>
      </c>
      <c r="EU741" s="1323"/>
      <c r="EV741" s="1323"/>
      <c r="EW741" s="1323"/>
      <c r="EX741" s="1323"/>
      <c r="EZ741" s="1301" t="str">
        <f t="shared" si="32"/>
        <v/>
      </c>
      <c r="FA741" s="1302"/>
      <c r="FB741" s="1302"/>
      <c r="FC741" s="1302"/>
      <c r="FD741" s="1303"/>
      <c r="FE741" s="1301" t="str">
        <f t="shared" si="33"/>
        <v/>
      </c>
      <c r="FF741" s="1302"/>
      <c r="FG741" s="1302"/>
      <c r="FH741" s="1302"/>
      <c r="FI741" s="1303"/>
      <c r="FJ741" s="1301" t="str">
        <f t="shared" si="34"/>
        <v/>
      </c>
      <c r="FK741" s="1302"/>
      <c r="FL741" s="1302"/>
      <c r="FM741" s="1302"/>
      <c r="FN741" s="1303"/>
      <c r="FO741" s="1301" t="str">
        <f t="shared" si="35"/>
        <v/>
      </c>
      <c r="FP741" s="1302"/>
      <c r="FQ741" s="1302"/>
      <c r="FR741" s="1302"/>
      <c r="FS741" s="1303"/>
      <c r="FT741" s="1301" t="str">
        <f t="shared" si="36"/>
        <v/>
      </c>
      <c r="FU741" s="1302"/>
      <c r="FV741" s="1302"/>
      <c r="FW741" s="1302"/>
      <c r="FX741" s="1303"/>
      <c r="FY741" s="1301" t="str">
        <f t="shared" si="37"/>
        <v/>
      </c>
      <c r="FZ741" s="1302"/>
      <c r="GA741" s="1302"/>
      <c r="GB741" s="1302"/>
      <c r="GC741" s="1303"/>
    </row>
    <row r="742" spans="1:185" ht="12.95" customHeight="1">
      <c r="B742" s="1305"/>
      <c r="C742" s="1306"/>
      <c r="D742" s="1306"/>
      <c r="E742" s="1306"/>
      <c r="F742" s="1307"/>
      <c r="G742" s="1314"/>
      <c r="H742" s="1315"/>
      <c r="I742" s="1315"/>
      <c r="J742" s="1316"/>
      <c r="K742" s="1524"/>
      <c r="L742" s="1525"/>
      <c r="M742" s="1525"/>
      <c r="N742" s="1526"/>
      <c r="O742" s="1320"/>
      <c r="P742" s="1321"/>
      <c r="Q742" s="1321"/>
      <c r="R742" s="1321"/>
      <c r="S742" s="1322"/>
      <c r="T742" s="1320"/>
      <c r="U742" s="1321"/>
      <c r="V742" s="1321"/>
      <c r="W742" s="1322"/>
      <c r="X742" s="1308">
        <f t="shared" si="10"/>
        <v>0</v>
      </c>
      <c r="Y742" s="1309"/>
      <c r="Z742" s="1309"/>
      <c r="AA742" s="1309"/>
      <c r="AB742" s="1310"/>
      <c r="AC742" s="1317"/>
      <c r="AD742" s="1318"/>
      <c r="AE742" s="1318"/>
      <c r="AF742" s="1318"/>
      <c r="AG742" s="1319"/>
      <c r="AH742" s="1311" t="str">
        <f t="shared" si="38"/>
        <v/>
      </c>
      <c r="AI742" s="1312"/>
      <c r="AJ742" s="1313"/>
      <c r="AK742" s="1305" t="s">
        <v>591</v>
      </c>
      <c r="AL742" s="1306"/>
      <c r="AM742" s="1306"/>
      <c r="AN742" s="1306"/>
      <c r="AO742" s="1307"/>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01">
        <f t="shared" si="39"/>
        <v>0</v>
      </c>
      <c r="CH742" s="1303"/>
      <c r="CI742" s="1285">
        <f t="shared" si="40"/>
        <v>0</v>
      </c>
      <c r="CJ742" s="1287"/>
      <c r="CK742" s="1301">
        <f t="shared" si="18"/>
        <v>0</v>
      </c>
      <c r="CL742" s="1303"/>
      <c r="CM742" s="1285">
        <f t="shared" si="19"/>
        <v>0</v>
      </c>
      <c r="CN742" s="1287"/>
      <c r="CO742" s="3"/>
      <c r="CP742" s="1282">
        <f t="shared" si="20"/>
        <v>0</v>
      </c>
      <c r="CQ742" s="1283"/>
      <c r="CR742" s="1283"/>
      <c r="CS742" s="1283"/>
      <c r="CT742" s="1284"/>
      <c r="CU742" s="1304">
        <f t="shared" si="21"/>
        <v>0</v>
      </c>
      <c r="CV742" s="1304"/>
      <c r="CW742" s="1304"/>
      <c r="CX742" s="1304"/>
      <c r="CY742" s="1304"/>
      <c r="CZ742" s="1304">
        <f t="shared" si="22"/>
        <v>0</v>
      </c>
      <c r="DA742" s="1304"/>
      <c r="DB742" s="1304"/>
      <c r="DC742" s="1304"/>
      <c r="DD742" s="1304"/>
      <c r="DE742" s="1304">
        <f t="shared" si="23"/>
        <v>0</v>
      </c>
      <c r="DF742" s="1304"/>
      <c r="DG742" s="1304"/>
      <c r="DH742" s="1304"/>
      <c r="DI742" s="1304"/>
      <c r="DJ742" s="1304">
        <f t="shared" si="24"/>
        <v>0</v>
      </c>
      <c r="DK742" s="1304"/>
      <c r="DL742" s="1304"/>
      <c r="DM742" s="1304"/>
      <c r="DN742" s="1304"/>
      <c r="DO742" s="1304">
        <f t="shared" si="25"/>
        <v>0</v>
      </c>
      <c r="DP742" s="1304"/>
      <c r="DQ742" s="1304"/>
      <c r="DR742" s="1304"/>
      <c r="DS742" s="1304"/>
      <c r="DT742" s="6"/>
      <c r="DU742" s="1323">
        <f t="shared" si="26"/>
        <v>0</v>
      </c>
      <c r="DV742" s="1323"/>
      <c r="DW742" s="1323"/>
      <c r="DX742" s="1323"/>
      <c r="DY742" s="1323"/>
      <c r="DZ742" s="1323">
        <f t="shared" si="27"/>
        <v>0</v>
      </c>
      <c r="EA742" s="1323"/>
      <c r="EB742" s="1323"/>
      <c r="EC742" s="1323"/>
      <c r="ED742" s="1323"/>
      <c r="EE742" s="1323">
        <f t="shared" si="28"/>
        <v>0</v>
      </c>
      <c r="EF742" s="1323"/>
      <c r="EG742" s="1323"/>
      <c r="EH742" s="1323"/>
      <c r="EI742" s="1323"/>
      <c r="EJ742" s="1323">
        <f t="shared" si="29"/>
        <v>0</v>
      </c>
      <c r="EK742" s="1323"/>
      <c r="EL742" s="1323"/>
      <c r="EM742" s="1323"/>
      <c r="EN742" s="1323"/>
      <c r="EO742" s="1323">
        <f t="shared" si="30"/>
        <v>0</v>
      </c>
      <c r="EP742" s="1323"/>
      <c r="EQ742" s="1323"/>
      <c r="ER742" s="1323"/>
      <c r="ES742" s="1323"/>
      <c r="ET742" s="1323">
        <f t="shared" si="31"/>
        <v>0</v>
      </c>
      <c r="EU742" s="1323"/>
      <c r="EV742" s="1323"/>
      <c r="EW742" s="1323"/>
      <c r="EX742" s="1323"/>
      <c r="EZ742" s="1301" t="str">
        <f t="shared" si="32"/>
        <v/>
      </c>
      <c r="FA742" s="1302"/>
      <c r="FB742" s="1302"/>
      <c r="FC742" s="1302"/>
      <c r="FD742" s="1303"/>
      <c r="FE742" s="1301" t="str">
        <f t="shared" si="33"/>
        <v/>
      </c>
      <c r="FF742" s="1302"/>
      <c r="FG742" s="1302"/>
      <c r="FH742" s="1302"/>
      <c r="FI742" s="1303"/>
      <c r="FJ742" s="1301" t="str">
        <f t="shared" si="34"/>
        <v/>
      </c>
      <c r="FK742" s="1302"/>
      <c r="FL742" s="1302"/>
      <c r="FM742" s="1302"/>
      <c r="FN742" s="1303"/>
      <c r="FO742" s="1301" t="str">
        <f t="shared" si="35"/>
        <v/>
      </c>
      <c r="FP742" s="1302"/>
      <c r="FQ742" s="1302"/>
      <c r="FR742" s="1302"/>
      <c r="FS742" s="1303"/>
      <c r="FT742" s="1301" t="str">
        <f t="shared" si="36"/>
        <v/>
      </c>
      <c r="FU742" s="1302"/>
      <c r="FV742" s="1302"/>
      <c r="FW742" s="1302"/>
      <c r="FX742" s="1303"/>
      <c r="FY742" s="1301" t="str">
        <f t="shared" si="37"/>
        <v/>
      </c>
      <c r="FZ742" s="1302"/>
      <c r="GA742" s="1302"/>
      <c r="GB742" s="1302"/>
      <c r="GC742" s="1303"/>
    </row>
    <row r="743" spans="1:185" ht="12.95" customHeight="1">
      <c r="B743" s="1305"/>
      <c r="C743" s="1306"/>
      <c r="D743" s="1306"/>
      <c r="E743" s="1306"/>
      <c r="F743" s="1307"/>
      <c r="G743" s="1314"/>
      <c r="H743" s="1315"/>
      <c r="I743" s="1315"/>
      <c r="J743" s="1316"/>
      <c r="K743" s="1524"/>
      <c r="L743" s="1525"/>
      <c r="M743" s="1525"/>
      <c r="N743" s="1526"/>
      <c r="O743" s="1320"/>
      <c r="P743" s="1321"/>
      <c r="Q743" s="1321"/>
      <c r="R743" s="1321"/>
      <c r="S743" s="1322"/>
      <c r="T743" s="1320"/>
      <c r="U743" s="1321"/>
      <c r="V743" s="1321"/>
      <c r="W743" s="1322"/>
      <c r="X743" s="1308">
        <f t="shared" si="10"/>
        <v>0</v>
      </c>
      <c r="Y743" s="1309"/>
      <c r="Z743" s="1309"/>
      <c r="AA743" s="1309"/>
      <c r="AB743" s="1310"/>
      <c r="AC743" s="1317"/>
      <c r="AD743" s="1318"/>
      <c r="AE743" s="1318"/>
      <c r="AF743" s="1318"/>
      <c r="AG743" s="1319"/>
      <c r="AH743" s="1311" t="str">
        <f t="shared" si="38"/>
        <v/>
      </c>
      <c r="AI743" s="1312"/>
      <c r="AJ743" s="1313"/>
      <c r="AK743" s="1305" t="s">
        <v>591</v>
      </c>
      <c r="AL743" s="1306"/>
      <c r="AM743" s="1306"/>
      <c r="AN743" s="1306"/>
      <c r="AO743" s="1307"/>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01">
        <f t="shared" si="39"/>
        <v>0</v>
      </c>
      <c r="CH743" s="1303"/>
      <c r="CI743" s="1285">
        <f t="shared" si="40"/>
        <v>0</v>
      </c>
      <c r="CJ743" s="1287"/>
      <c r="CK743" s="1301">
        <f t="shared" si="18"/>
        <v>0</v>
      </c>
      <c r="CL743" s="1303"/>
      <c r="CM743" s="1285">
        <f t="shared" si="19"/>
        <v>0</v>
      </c>
      <c r="CN743" s="1287"/>
      <c r="CO743" s="3"/>
      <c r="CP743" s="1282">
        <f t="shared" si="20"/>
        <v>0</v>
      </c>
      <c r="CQ743" s="1283"/>
      <c r="CR743" s="1283"/>
      <c r="CS743" s="1283"/>
      <c r="CT743" s="1284"/>
      <c r="CU743" s="1304">
        <f t="shared" si="21"/>
        <v>0</v>
      </c>
      <c r="CV743" s="1304"/>
      <c r="CW743" s="1304"/>
      <c r="CX743" s="1304"/>
      <c r="CY743" s="1304"/>
      <c r="CZ743" s="1304">
        <f t="shared" si="22"/>
        <v>0</v>
      </c>
      <c r="DA743" s="1304"/>
      <c r="DB743" s="1304"/>
      <c r="DC743" s="1304"/>
      <c r="DD743" s="1304"/>
      <c r="DE743" s="1304">
        <f t="shared" si="23"/>
        <v>0</v>
      </c>
      <c r="DF743" s="1304"/>
      <c r="DG743" s="1304"/>
      <c r="DH743" s="1304"/>
      <c r="DI743" s="1304"/>
      <c r="DJ743" s="1304">
        <f t="shared" si="24"/>
        <v>0</v>
      </c>
      <c r="DK743" s="1304"/>
      <c r="DL743" s="1304"/>
      <c r="DM743" s="1304"/>
      <c r="DN743" s="1304"/>
      <c r="DO743" s="1304">
        <f t="shared" si="25"/>
        <v>0</v>
      </c>
      <c r="DP743" s="1304"/>
      <c r="DQ743" s="1304"/>
      <c r="DR743" s="1304"/>
      <c r="DS743" s="1304"/>
      <c r="DT743" s="6"/>
      <c r="DU743" s="1323">
        <f t="shared" si="26"/>
        <v>0</v>
      </c>
      <c r="DV743" s="1323"/>
      <c r="DW743" s="1323"/>
      <c r="DX743" s="1323"/>
      <c r="DY743" s="1323"/>
      <c r="DZ743" s="1323">
        <f t="shared" si="27"/>
        <v>0</v>
      </c>
      <c r="EA743" s="1323"/>
      <c r="EB743" s="1323"/>
      <c r="EC743" s="1323"/>
      <c r="ED743" s="1323"/>
      <c r="EE743" s="1323">
        <f t="shared" si="28"/>
        <v>0</v>
      </c>
      <c r="EF743" s="1323"/>
      <c r="EG743" s="1323"/>
      <c r="EH743" s="1323"/>
      <c r="EI743" s="1323"/>
      <c r="EJ743" s="1323">
        <f t="shared" si="29"/>
        <v>0</v>
      </c>
      <c r="EK743" s="1323"/>
      <c r="EL743" s="1323"/>
      <c r="EM743" s="1323"/>
      <c r="EN743" s="1323"/>
      <c r="EO743" s="1323">
        <f t="shared" si="30"/>
        <v>0</v>
      </c>
      <c r="EP743" s="1323"/>
      <c r="EQ743" s="1323"/>
      <c r="ER743" s="1323"/>
      <c r="ES743" s="1323"/>
      <c r="ET743" s="1323">
        <f t="shared" si="31"/>
        <v>0</v>
      </c>
      <c r="EU743" s="1323"/>
      <c r="EV743" s="1323"/>
      <c r="EW743" s="1323"/>
      <c r="EX743" s="1323"/>
      <c r="EZ743" s="1301" t="str">
        <f t="shared" si="32"/>
        <v/>
      </c>
      <c r="FA743" s="1302"/>
      <c r="FB743" s="1302"/>
      <c r="FC743" s="1302"/>
      <c r="FD743" s="1303"/>
      <c r="FE743" s="1301" t="str">
        <f t="shared" si="33"/>
        <v/>
      </c>
      <c r="FF743" s="1302"/>
      <c r="FG743" s="1302"/>
      <c r="FH743" s="1302"/>
      <c r="FI743" s="1303"/>
      <c r="FJ743" s="1301" t="str">
        <f t="shared" si="34"/>
        <v/>
      </c>
      <c r="FK743" s="1302"/>
      <c r="FL743" s="1302"/>
      <c r="FM743" s="1302"/>
      <c r="FN743" s="1303"/>
      <c r="FO743" s="1301" t="str">
        <f t="shared" si="35"/>
        <v/>
      </c>
      <c r="FP743" s="1302"/>
      <c r="FQ743" s="1302"/>
      <c r="FR743" s="1302"/>
      <c r="FS743" s="1303"/>
      <c r="FT743" s="1301" t="str">
        <f t="shared" si="36"/>
        <v/>
      </c>
      <c r="FU743" s="1302"/>
      <c r="FV743" s="1302"/>
      <c r="FW743" s="1302"/>
      <c r="FX743" s="1303"/>
      <c r="FY743" s="1301" t="str">
        <f t="shared" si="37"/>
        <v/>
      </c>
      <c r="FZ743" s="1302"/>
      <c r="GA743" s="1302"/>
      <c r="GB743" s="1302"/>
      <c r="GC743" s="1303"/>
    </row>
    <row r="744" spans="1:185" ht="12.95" customHeight="1">
      <c r="B744" s="1305"/>
      <c r="C744" s="1306"/>
      <c r="D744" s="1306"/>
      <c r="E744" s="1306"/>
      <c r="F744" s="1307"/>
      <c r="G744" s="1314"/>
      <c r="H744" s="1315"/>
      <c r="I744" s="1315"/>
      <c r="J744" s="1316"/>
      <c r="K744" s="1524"/>
      <c r="L744" s="1525"/>
      <c r="M744" s="1525"/>
      <c r="N744" s="1526"/>
      <c r="O744" s="1320"/>
      <c r="P744" s="1321"/>
      <c r="Q744" s="1321"/>
      <c r="R744" s="1321"/>
      <c r="S744" s="1322"/>
      <c r="T744" s="1320"/>
      <c r="U744" s="1321"/>
      <c r="V744" s="1321"/>
      <c r="W744" s="1322"/>
      <c r="X744" s="1308">
        <f t="shared" si="10"/>
        <v>0</v>
      </c>
      <c r="Y744" s="1309"/>
      <c r="Z744" s="1309"/>
      <c r="AA744" s="1309"/>
      <c r="AB744" s="1310"/>
      <c r="AC744" s="1317"/>
      <c r="AD744" s="1318"/>
      <c r="AE744" s="1318"/>
      <c r="AF744" s="1318"/>
      <c r="AG744" s="1319"/>
      <c r="AH744" s="1311" t="str">
        <f t="shared" si="38"/>
        <v/>
      </c>
      <c r="AI744" s="1312"/>
      <c r="AJ744" s="1313"/>
      <c r="AK744" s="1305" t="s">
        <v>591</v>
      </c>
      <c r="AL744" s="1306"/>
      <c r="AM744" s="1306"/>
      <c r="AN744" s="1306"/>
      <c r="AO744" s="1307"/>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01">
        <f t="shared" si="39"/>
        <v>0</v>
      </c>
      <c r="CH744" s="1303"/>
      <c r="CI744" s="1285">
        <f t="shared" si="40"/>
        <v>0</v>
      </c>
      <c r="CJ744" s="1287"/>
      <c r="CK744" s="1301">
        <f t="shared" si="18"/>
        <v>0</v>
      </c>
      <c r="CL744" s="1303"/>
      <c r="CM744" s="1285">
        <f t="shared" si="19"/>
        <v>0</v>
      </c>
      <c r="CN744" s="1287"/>
      <c r="CO744" s="3"/>
      <c r="CP744" s="1282">
        <f t="shared" si="20"/>
        <v>0</v>
      </c>
      <c r="CQ744" s="1283"/>
      <c r="CR744" s="1283"/>
      <c r="CS744" s="1283"/>
      <c r="CT744" s="1284"/>
      <c r="CU744" s="1304">
        <f t="shared" si="21"/>
        <v>0</v>
      </c>
      <c r="CV744" s="1304"/>
      <c r="CW744" s="1304"/>
      <c r="CX744" s="1304"/>
      <c r="CY744" s="1304"/>
      <c r="CZ744" s="1304">
        <f t="shared" si="22"/>
        <v>0</v>
      </c>
      <c r="DA744" s="1304"/>
      <c r="DB744" s="1304"/>
      <c r="DC744" s="1304"/>
      <c r="DD744" s="1304"/>
      <c r="DE744" s="1304">
        <f t="shared" si="23"/>
        <v>0</v>
      </c>
      <c r="DF744" s="1304"/>
      <c r="DG744" s="1304"/>
      <c r="DH744" s="1304"/>
      <c r="DI744" s="1304"/>
      <c r="DJ744" s="1304">
        <f t="shared" si="24"/>
        <v>0</v>
      </c>
      <c r="DK744" s="1304"/>
      <c r="DL744" s="1304"/>
      <c r="DM744" s="1304"/>
      <c r="DN744" s="1304"/>
      <c r="DO744" s="1304">
        <f t="shared" si="25"/>
        <v>0</v>
      </c>
      <c r="DP744" s="1304"/>
      <c r="DQ744" s="1304"/>
      <c r="DR744" s="1304"/>
      <c r="DS744" s="1304"/>
      <c r="DT744" s="6"/>
      <c r="DU744" s="1323">
        <f t="shared" si="26"/>
        <v>0</v>
      </c>
      <c r="DV744" s="1323"/>
      <c r="DW744" s="1323"/>
      <c r="DX744" s="1323"/>
      <c r="DY744" s="1323"/>
      <c r="DZ744" s="1323">
        <f t="shared" si="27"/>
        <v>0</v>
      </c>
      <c r="EA744" s="1323"/>
      <c r="EB744" s="1323"/>
      <c r="EC744" s="1323"/>
      <c r="ED744" s="1323"/>
      <c r="EE744" s="1323">
        <f t="shared" si="28"/>
        <v>0</v>
      </c>
      <c r="EF744" s="1323"/>
      <c r="EG744" s="1323"/>
      <c r="EH744" s="1323"/>
      <c r="EI744" s="1323"/>
      <c r="EJ744" s="1323">
        <f t="shared" si="29"/>
        <v>0</v>
      </c>
      <c r="EK744" s="1323"/>
      <c r="EL744" s="1323"/>
      <c r="EM744" s="1323"/>
      <c r="EN744" s="1323"/>
      <c r="EO744" s="1323">
        <f t="shared" si="30"/>
        <v>0</v>
      </c>
      <c r="EP744" s="1323"/>
      <c r="EQ744" s="1323"/>
      <c r="ER744" s="1323"/>
      <c r="ES744" s="1323"/>
      <c r="ET744" s="1323">
        <f t="shared" si="31"/>
        <v>0</v>
      </c>
      <c r="EU744" s="1323"/>
      <c r="EV744" s="1323"/>
      <c r="EW744" s="1323"/>
      <c r="EX744" s="1323"/>
      <c r="EZ744" s="1301" t="str">
        <f t="shared" si="32"/>
        <v/>
      </c>
      <c r="FA744" s="1302"/>
      <c r="FB744" s="1302"/>
      <c r="FC744" s="1302"/>
      <c r="FD744" s="1303"/>
      <c r="FE744" s="1301" t="str">
        <f t="shared" si="33"/>
        <v/>
      </c>
      <c r="FF744" s="1302"/>
      <c r="FG744" s="1302"/>
      <c r="FH744" s="1302"/>
      <c r="FI744" s="1303"/>
      <c r="FJ744" s="1301" t="str">
        <f t="shared" si="34"/>
        <v/>
      </c>
      <c r="FK744" s="1302"/>
      <c r="FL744" s="1302"/>
      <c r="FM744" s="1302"/>
      <c r="FN744" s="1303"/>
      <c r="FO744" s="1301" t="str">
        <f t="shared" si="35"/>
        <v/>
      </c>
      <c r="FP744" s="1302"/>
      <c r="FQ744" s="1302"/>
      <c r="FR744" s="1302"/>
      <c r="FS744" s="1303"/>
      <c r="FT744" s="1301" t="str">
        <f t="shared" si="36"/>
        <v/>
      </c>
      <c r="FU744" s="1302"/>
      <c r="FV744" s="1302"/>
      <c r="FW744" s="1302"/>
      <c r="FX744" s="1303"/>
      <c r="FY744" s="1301" t="str">
        <f t="shared" si="37"/>
        <v/>
      </c>
      <c r="FZ744" s="1302"/>
      <c r="GA744" s="1302"/>
      <c r="GB744" s="1302"/>
      <c r="GC744" s="1303"/>
    </row>
    <row r="745" spans="1:185" ht="12.95" customHeight="1">
      <c r="B745" s="1305"/>
      <c r="C745" s="1306"/>
      <c r="D745" s="1306"/>
      <c r="E745" s="1306"/>
      <c r="F745" s="1307"/>
      <c r="G745" s="1314"/>
      <c r="H745" s="1315"/>
      <c r="I745" s="1315"/>
      <c r="J745" s="1316"/>
      <c r="K745" s="1524"/>
      <c r="L745" s="1525"/>
      <c r="M745" s="1525"/>
      <c r="N745" s="1526"/>
      <c r="O745" s="1320"/>
      <c r="P745" s="1321"/>
      <c r="Q745" s="1321"/>
      <c r="R745" s="1321"/>
      <c r="S745" s="1322"/>
      <c r="T745" s="1320"/>
      <c r="U745" s="1321"/>
      <c r="V745" s="1321"/>
      <c r="W745" s="1322"/>
      <c r="X745" s="1308">
        <f t="shared" si="10"/>
        <v>0</v>
      </c>
      <c r="Y745" s="1309"/>
      <c r="Z745" s="1309"/>
      <c r="AA745" s="1309"/>
      <c r="AB745" s="1310"/>
      <c r="AC745" s="1317"/>
      <c r="AD745" s="1318"/>
      <c r="AE745" s="1318"/>
      <c r="AF745" s="1318"/>
      <c r="AG745" s="1319"/>
      <c r="AH745" s="1311" t="str">
        <f t="shared" si="38"/>
        <v/>
      </c>
      <c r="AI745" s="1312"/>
      <c r="AJ745" s="1313"/>
      <c r="AK745" s="1305" t="s">
        <v>591</v>
      </c>
      <c r="AL745" s="1306"/>
      <c r="AM745" s="1306"/>
      <c r="AN745" s="1306"/>
      <c r="AO745" s="1307"/>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01">
        <f t="shared" si="39"/>
        <v>0</v>
      </c>
      <c r="CH745" s="1303"/>
      <c r="CI745" s="1285">
        <f t="shared" si="40"/>
        <v>0</v>
      </c>
      <c r="CJ745" s="1287"/>
      <c r="CK745" s="1301">
        <f t="shared" si="18"/>
        <v>0</v>
      </c>
      <c r="CL745" s="1303"/>
      <c r="CM745" s="1285">
        <f t="shared" si="19"/>
        <v>0</v>
      </c>
      <c r="CN745" s="1287"/>
      <c r="CO745" s="3"/>
      <c r="CP745" s="1282">
        <f t="shared" si="20"/>
        <v>0</v>
      </c>
      <c r="CQ745" s="1283"/>
      <c r="CR745" s="1283"/>
      <c r="CS745" s="1283"/>
      <c r="CT745" s="1284"/>
      <c r="CU745" s="1304">
        <f t="shared" si="21"/>
        <v>0</v>
      </c>
      <c r="CV745" s="1304"/>
      <c r="CW745" s="1304"/>
      <c r="CX745" s="1304"/>
      <c r="CY745" s="1304"/>
      <c r="CZ745" s="1304">
        <f t="shared" si="22"/>
        <v>0</v>
      </c>
      <c r="DA745" s="1304"/>
      <c r="DB745" s="1304"/>
      <c r="DC745" s="1304"/>
      <c r="DD745" s="1304"/>
      <c r="DE745" s="1304">
        <f t="shared" si="23"/>
        <v>0</v>
      </c>
      <c r="DF745" s="1304"/>
      <c r="DG745" s="1304"/>
      <c r="DH745" s="1304"/>
      <c r="DI745" s="1304"/>
      <c r="DJ745" s="1304">
        <f t="shared" si="24"/>
        <v>0</v>
      </c>
      <c r="DK745" s="1304"/>
      <c r="DL745" s="1304"/>
      <c r="DM745" s="1304"/>
      <c r="DN745" s="1304"/>
      <c r="DO745" s="1304">
        <f t="shared" si="25"/>
        <v>0</v>
      </c>
      <c r="DP745" s="1304"/>
      <c r="DQ745" s="1304"/>
      <c r="DR745" s="1304"/>
      <c r="DS745" s="1304"/>
      <c r="DT745" s="6"/>
      <c r="DU745" s="1323">
        <f t="shared" si="26"/>
        <v>0</v>
      </c>
      <c r="DV745" s="1323"/>
      <c r="DW745" s="1323"/>
      <c r="DX745" s="1323"/>
      <c r="DY745" s="1323"/>
      <c r="DZ745" s="1323">
        <f t="shared" si="27"/>
        <v>0</v>
      </c>
      <c r="EA745" s="1323"/>
      <c r="EB745" s="1323"/>
      <c r="EC745" s="1323"/>
      <c r="ED745" s="1323"/>
      <c r="EE745" s="1323">
        <f t="shared" si="28"/>
        <v>0</v>
      </c>
      <c r="EF745" s="1323"/>
      <c r="EG745" s="1323"/>
      <c r="EH745" s="1323"/>
      <c r="EI745" s="1323"/>
      <c r="EJ745" s="1323">
        <f t="shared" si="29"/>
        <v>0</v>
      </c>
      <c r="EK745" s="1323"/>
      <c r="EL745" s="1323"/>
      <c r="EM745" s="1323"/>
      <c r="EN745" s="1323"/>
      <c r="EO745" s="1323">
        <f t="shared" si="30"/>
        <v>0</v>
      </c>
      <c r="EP745" s="1323"/>
      <c r="EQ745" s="1323"/>
      <c r="ER745" s="1323"/>
      <c r="ES745" s="1323"/>
      <c r="ET745" s="1323">
        <f t="shared" si="31"/>
        <v>0</v>
      </c>
      <c r="EU745" s="1323"/>
      <c r="EV745" s="1323"/>
      <c r="EW745" s="1323"/>
      <c r="EX745" s="1323"/>
      <c r="EZ745" s="1301" t="str">
        <f t="shared" si="32"/>
        <v/>
      </c>
      <c r="FA745" s="1302"/>
      <c r="FB745" s="1302"/>
      <c r="FC745" s="1302"/>
      <c r="FD745" s="1303"/>
      <c r="FE745" s="1301" t="str">
        <f t="shared" si="33"/>
        <v/>
      </c>
      <c r="FF745" s="1302"/>
      <c r="FG745" s="1302"/>
      <c r="FH745" s="1302"/>
      <c r="FI745" s="1303"/>
      <c r="FJ745" s="1301" t="str">
        <f t="shared" si="34"/>
        <v/>
      </c>
      <c r="FK745" s="1302"/>
      <c r="FL745" s="1302"/>
      <c r="FM745" s="1302"/>
      <c r="FN745" s="1303"/>
      <c r="FO745" s="1301" t="str">
        <f t="shared" si="35"/>
        <v/>
      </c>
      <c r="FP745" s="1302"/>
      <c r="FQ745" s="1302"/>
      <c r="FR745" s="1302"/>
      <c r="FS745" s="1303"/>
      <c r="FT745" s="1301" t="str">
        <f t="shared" si="36"/>
        <v/>
      </c>
      <c r="FU745" s="1302"/>
      <c r="FV745" s="1302"/>
      <c r="FW745" s="1302"/>
      <c r="FX745" s="1303"/>
      <c r="FY745" s="1301" t="str">
        <f t="shared" si="37"/>
        <v/>
      </c>
      <c r="FZ745" s="1302"/>
      <c r="GA745" s="1302"/>
      <c r="GB745" s="1302"/>
      <c r="GC745" s="1303"/>
    </row>
    <row r="746" spans="1:185" ht="12.95" customHeight="1">
      <c r="B746" s="1305"/>
      <c r="C746" s="1306"/>
      <c r="D746" s="1306"/>
      <c r="E746" s="1306"/>
      <c r="F746" s="1307"/>
      <c r="G746" s="1314"/>
      <c r="H746" s="1315"/>
      <c r="I746" s="1315"/>
      <c r="J746" s="1316"/>
      <c r="K746" s="1524"/>
      <c r="L746" s="1525"/>
      <c r="M746" s="1525"/>
      <c r="N746" s="1526"/>
      <c r="O746" s="1320"/>
      <c r="P746" s="1321"/>
      <c r="Q746" s="1321"/>
      <c r="R746" s="1321"/>
      <c r="S746" s="1322"/>
      <c r="T746" s="1320"/>
      <c r="U746" s="1321"/>
      <c r="V746" s="1321"/>
      <c r="W746" s="1322"/>
      <c r="X746" s="1308">
        <f t="shared" si="10"/>
        <v>0</v>
      </c>
      <c r="Y746" s="1309"/>
      <c r="Z746" s="1309"/>
      <c r="AA746" s="1309"/>
      <c r="AB746" s="1310"/>
      <c r="AC746" s="1317"/>
      <c r="AD746" s="1318"/>
      <c r="AE746" s="1318"/>
      <c r="AF746" s="1318"/>
      <c r="AG746" s="1319"/>
      <c r="AH746" s="1311" t="str">
        <f t="shared" si="38"/>
        <v/>
      </c>
      <c r="AI746" s="1312"/>
      <c r="AJ746" s="1313"/>
      <c r="AK746" s="1305" t="s">
        <v>591</v>
      </c>
      <c r="AL746" s="1306"/>
      <c r="AM746" s="1306"/>
      <c r="AN746" s="1306"/>
      <c r="AO746" s="1307"/>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01">
        <f t="shared" si="39"/>
        <v>0</v>
      </c>
      <c r="CH746" s="1303"/>
      <c r="CI746" s="1285">
        <f t="shared" si="40"/>
        <v>0</v>
      </c>
      <c r="CJ746" s="1287"/>
      <c r="CK746" s="1301">
        <f t="shared" si="18"/>
        <v>0</v>
      </c>
      <c r="CL746" s="1303"/>
      <c r="CM746" s="1285">
        <f t="shared" si="19"/>
        <v>0</v>
      </c>
      <c r="CN746" s="1287"/>
      <c r="CO746" s="3"/>
      <c r="CP746" s="1282">
        <f t="shared" si="20"/>
        <v>0</v>
      </c>
      <c r="CQ746" s="1283"/>
      <c r="CR746" s="1283"/>
      <c r="CS746" s="1283"/>
      <c r="CT746" s="1284"/>
      <c r="CU746" s="1304">
        <f t="shared" si="21"/>
        <v>0</v>
      </c>
      <c r="CV746" s="1304"/>
      <c r="CW746" s="1304"/>
      <c r="CX746" s="1304"/>
      <c r="CY746" s="1304"/>
      <c r="CZ746" s="1304">
        <f t="shared" si="22"/>
        <v>0</v>
      </c>
      <c r="DA746" s="1304"/>
      <c r="DB746" s="1304"/>
      <c r="DC746" s="1304"/>
      <c r="DD746" s="1304"/>
      <c r="DE746" s="1304">
        <f t="shared" si="23"/>
        <v>0</v>
      </c>
      <c r="DF746" s="1304"/>
      <c r="DG746" s="1304"/>
      <c r="DH746" s="1304"/>
      <c r="DI746" s="1304"/>
      <c r="DJ746" s="1304">
        <f t="shared" si="24"/>
        <v>0</v>
      </c>
      <c r="DK746" s="1304"/>
      <c r="DL746" s="1304"/>
      <c r="DM746" s="1304"/>
      <c r="DN746" s="1304"/>
      <c r="DO746" s="1304">
        <f t="shared" si="25"/>
        <v>0</v>
      </c>
      <c r="DP746" s="1304"/>
      <c r="DQ746" s="1304"/>
      <c r="DR746" s="1304"/>
      <c r="DS746" s="1304"/>
      <c r="DT746" s="6"/>
      <c r="DU746" s="1323">
        <f t="shared" si="26"/>
        <v>0</v>
      </c>
      <c r="DV746" s="1323"/>
      <c r="DW746" s="1323"/>
      <c r="DX746" s="1323"/>
      <c r="DY746" s="1323"/>
      <c r="DZ746" s="1323">
        <f t="shared" si="27"/>
        <v>0</v>
      </c>
      <c r="EA746" s="1323"/>
      <c r="EB746" s="1323"/>
      <c r="EC746" s="1323"/>
      <c r="ED746" s="1323"/>
      <c r="EE746" s="1323">
        <f t="shared" si="28"/>
        <v>0</v>
      </c>
      <c r="EF746" s="1323"/>
      <c r="EG746" s="1323"/>
      <c r="EH746" s="1323"/>
      <c r="EI746" s="1323"/>
      <c r="EJ746" s="1323">
        <f t="shared" si="29"/>
        <v>0</v>
      </c>
      <c r="EK746" s="1323"/>
      <c r="EL746" s="1323"/>
      <c r="EM746" s="1323"/>
      <c r="EN746" s="1323"/>
      <c r="EO746" s="1323">
        <f t="shared" si="30"/>
        <v>0</v>
      </c>
      <c r="EP746" s="1323"/>
      <c r="EQ746" s="1323"/>
      <c r="ER746" s="1323"/>
      <c r="ES746" s="1323"/>
      <c r="ET746" s="1323">
        <f t="shared" si="31"/>
        <v>0</v>
      </c>
      <c r="EU746" s="1323"/>
      <c r="EV746" s="1323"/>
      <c r="EW746" s="1323"/>
      <c r="EX746" s="1323"/>
      <c r="EZ746" s="1301" t="str">
        <f t="shared" si="32"/>
        <v/>
      </c>
      <c r="FA746" s="1302"/>
      <c r="FB746" s="1302"/>
      <c r="FC746" s="1302"/>
      <c r="FD746" s="1303"/>
      <c r="FE746" s="1301" t="str">
        <f t="shared" si="33"/>
        <v/>
      </c>
      <c r="FF746" s="1302"/>
      <c r="FG746" s="1302"/>
      <c r="FH746" s="1302"/>
      <c r="FI746" s="1303"/>
      <c r="FJ746" s="1301" t="str">
        <f t="shared" si="34"/>
        <v/>
      </c>
      <c r="FK746" s="1302"/>
      <c r="FL746" s="1302"/>
      <c r="FM746" s="1302"/>
      <c r="FN746" s="1303"/>
      <c r="FO746" s="1301" t="str">
        <f t="shared" si="35"/>
        <v/>
      </c>
      <c r="FP746" s="1302"/>
      <c r="FQ746" s="1302"/>
      <c r="FR746" s="1302"/>
      <c r="FS746" s="1303"/>
      <c r="FT746" s="1301" t="str">
        <f t="shared" si="36"/>
        <v/>
      </c>
      <c r="FU746" s="1302"/>
      <c r="FV746" s="1302"/>
      <c r="FW746" s="1302"/>
      <c r="FX746" s="1303"/>
      <c r="FY746" s="1301" t="str">
        <f t="shared" si="37"/>
        <v/>
      </c>
      <c r="FZ746" s="1302"/>
      <c r="GA746" s="1302"/>
      <c r="GB746" s="1302"/>
      <c r="GC746" s="1303"/>
    </row>
    <row r="747" spans="1:185" ht="12.95" customHeight="1">
      <c r="B747" s="1305"/>
      <c r="C747" s="1306"/>
      <c r="D747" s="1306"/>
      <c r="E747" s="1306"/>
      <c r="F747" s="1307"/>
      <c r="G747" s="1314"/>
      <c r="H747" s="1315"/>
      <c r="I747" s="1315"/>
      <c r="J747" s="1316"/>
      <c r="K747" s="1524"/>
      <c r="L747" s="1525"/>
      <c r="M747" s="1525"/>
      <c r="N747" s="1526"/>
      <c r="O747" s="1320"/>
      <c r="P747" s="1321"/>
      <c r="Q747" s="1321"/>
      <c r="R747" s="1321"/>
      <c r="S747" s="1322"/>
      <c r="T747" s="1320"/>
      <c r="U747" s="1321"/>
      <c r="V747" s="1321"/>
      <c r="W747" s="1322"/>
      <c r="X747" s="1308">
        <f t="shared" si="10"/>
        <v>0</v>
      </c>
      <c r="Y747" s="1309"/>
      <c r="Z747" s="1309"/>
      <c r="AA747" s="1309"/>
      <c r="AB747" s="1310"/>
      <c r="AC747" s="1317"/>
      <c r="AD747" s="1318"/>
      <c r="AE747" s="1318"/>
      <c r="AF747" s="1318"/>
      <c r="AG747" s="1319"/>
      <c r="AH747" s="1311" t="str">
        <f t="shared" si="38"/>
        <v/>
      </c>
      <c r="AI747" s="1312"/>
      <c r="AJ747" s="1313"/>
      <c r="AK747" s="1305" t="s">
        <v>591</v>
      </c>
      <c r="AL747" s="1306"/>
      <c r="AM747" s="1306"/>
      <c r="AN747" s="1306"/>
      <c r="AO747" s="1307"/>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01">
        <f t="shared" si="39"/>
        <v>0</v>
      </c>
      <c r="CH747" s="1303"/>
      <c r="CI747" s="1285">
        <f t="shared" si="40"/>
        <v>0</v>
      </c>
      <c r="CJ747" s="1287"/>
      <c r="CK747" s="1301">
        <f t="shared" si="18"/>
        <v>0</v>
      </c>
      <c r="CL747" s="1303"/>
      <c r="CM747" s="1285">
        <f t="shared" si="19"/>
        <v>0</v>
      </c>
      <c r="CN747" s="1287"/>
      <c r="CO747" s="3"/>
      <c r="CP747" s="1282">
        <f t="shared" si="20"/>
        <v>0</v>
      </c>
      <c r="CQ747" s="1283"/>
      <c r="CR747" s="1283"/>
      <c r="CS747" s="1283"/>
      <c r="CT747" s="1284"/>
      <c r="CU747" s="1304">
        <f t="shared" si="21"/>
        <v>0</v>
      </c>
      <c r="CV747" s="1304"/>
      <c r="CW747" s="1304"/>
      <c r="CX747" s="1304"/>
      <c r="CY747" s="1304"/>
      <c r="CZ747" s="1304">
        <f t="shared" si="22"/>
        <v>0</v>
      </c>
      <c r="DA747" s="1304"/>
      <c r="DB747" s="1304"/>
      <c r="DC747" s="1304"/>
      <c r="DD747" s="1304"/>
      <c r="DE747" s="1304">
        <f t="shared" si="23"/>
        <v>0</v>
      </c>
      <c r="DF747" s="1304"/>
      <c r="DG747" s="1304"/>
      <c r="DH747" s="1304"/>
      <c r="DI747" s="1304"/>
      <c r="DJ747" s="1304">
        <f t="shared" si="24"/>
        <v>0</v>
      </c>
      <c r="DK747" s="1304"/>
      <c r="DL747" s="1304"/>
      <c r="DM747" s="1304"/>
      <c r="DN747" s="1304"/>
      <c r="DO747" s="1304">
        <f t="shared" si="25"/>
        <v>0</v>
      </c>
      <c r="DP747" s="1304"/>
      <c r="DQ747" s="1304"/>
      <c r="DR747" s="1304"/>
      <c r="DS747" s="1304"/>
      <c r="DT747" s="6"/>
      <c r="DU747" s="1323">
        <f t="shared" si="26"/>
        <v>0</v>
      </c>
      <c r="DV747" s="1323"/>
      <c r="DW747" s="1323"/>
      <c r="DX747" s="1323"/>
      <c r="DY747" s="1323"/>
      <c r="DZ747" s="1323">
        <f t="shared" si="27"/>
        <v>0</v>
      </c>
      <c r="EA747" s="1323"/>
      <c r="EB747" s="1323"/>
      <c r="EC747" s="1323"/>
      <c r="ED747" s="1323"/>
      <c r="EE747" s="1323">
        <f t="shared" si="28"/>
        <v>0</v>
      </c>
      <c r="EF747" s="1323"/>
      <c r="EG747" s="1323"/>
      <c r="EH747" s="1323"/>
      <c r="EI747" s="1323"/>
      <c r="EJ747" s="1323">
        <f t="shared" si="29"/>
        <v>0</v>
      </c>
      <c r="EK747" s="1323"/>
      <c r="EL747" s="1323"/>
      <c r="EM747" s="1323"/>
      <c r="EN747" s="1323"/>
      <c r="EO747" s="1323">
        <f t="shared" si="30"/>
        <v>0</v>
      </c>
      <c r="EP747" s="1323"/>
      <c r="EQ747" s="1323"/>
      <c r="ER747" s="1323"/>
      <c r="ES747" s="1323"/>
      <c r="ET747" s="1323">
        <f t="shared" si="31"/>
        <v>0</v>
      </c>
      <c r="EU747" s="1323"/>
      <c r="EV747" s="1323"/>
      <c r="EW747" s="1323"/>
      <c r="EX747" s="1323"/>
      <c r="EZ747" s="1301" t="str">
        <f t="shared" si="32"/>
        <v/>
      </c>
      <c r="FA747" s="1302"/>
      <c r="FB747" s="1302"/>
      <c r="FC747" s="1302"/>
      <c r="FD747" s="1303"/>
      <c r="FE747" s="1301" t="str">
        <f t="shared" si="33"/>
        <v/>
      </c>
      <c r="FF747" s="1302"/>
      <c r="FG747" s="1302"/>
      <c r="FH747" s="1302"/>
      <c r="FI747" s="1303"/>
      <c r="FJ747" s="1301" t="str">
        <f t="shared" si="34"/>
        <v/>
      </c>
      <c r="FK747" s="1302"/>
      <c r="FL747" s="1302"/>
      <c r="FM747" s="1302"/>
      <c r="FN747" s="1303"/>
      <c r="FO747" s="1301" t="str">
        <f t="shared" si="35"/>
        <v/>
      </c>
      <c r="FP747" s="1302"/>
      <c r="FQ747" s="1302"/>
      <c r="FR747" s="1302"/>
      <c r="FS747" s="1303"/>
      <c r="FT747" s="1301" t="str">
        <f t="shared" si="36"/>
        <v/>
      </c>
      <c r="FU747" s="1302"/>
      <c r="FV747" s="1302"/>
      <c r="FW747" s="1302"/>
      <c r="FX747" s="1303"/>
      <c r="FY747" s="1301" t="str">
        <f t="shared" si="37"/>
        <v/>
      </c>
      <c r="FZ747" s="1302"/>
      <c r="GA747" s="1302"/>
      <c r="GB747" s="1302"/>
      <c r="GC747" s="1303"/>
    </row>
    <row r="748" spans="1:185" ht="12.95" customHeight="1">
      <c r="B748" s="1305"/>
      <c r="C748" s="1306"/>
      <c r="D748" s="1306"/>
      <c r="E748" s="1306"/>
      <c r="F748" s="1307"/>
      <c r="G748" s="1314"/>
      <c r="H748" s="1315"/>
      <c r="I748" s="1315"/>
      <c r="J748" s="1316"/>
      <c r="K748" s="1524"/>
      <c r="L748" s="1525"/>
      <c r="M748" s="1525"/>
      <c r="N748" s="1526"/>
      <c r="O748" s="1320"/>
      <c r="P748" s="1321"/>
      <c r="Q748" s="1321"/>
      <c r="R748" s="1321"/>
      <c r="S748" s="1322"/>
      <c r="T748" s="1320"/>
      <c r="U748" s="1321"/>
      <c r="V748" s="1321"/>
      <c r="W748" s="1322"/>
      <c r="X748" s="1308">
        <f t="shared" si="10"/>
        <v>0</v>
      </c>
      <c r="Y748" s="1309"/>
      <c r="Z748" s="1309"/>
      <c r="AA748" s="1309"/>
      <c r="AB748" s="1310"/>
      <c r="AC748" s="1317"/>
      <c r="AD748" s="1318"/>
      <c r="AE748" s="1318"/>
      <c r="AF748" s="1318"/>
      <c r="AG748" s="1319"/>
      <c r="AH748" s="1311" t="str">
        <f t="shared" si="38"/>
        <v/>
      </c>
      <c r="AI748" s="1312"/>
      <c r="AJ748" s="1313"/>
      <c r="AK748" s="1305" t="s">
        <v>591</v>
      </c>
      <c r="AL748" s="1306"/>
      <c r="AM748" s="1306"/>
      <c r="AN748" s="1306"/>
      <c r="AO748" s="1307"/>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01">
        <f t="shared" si="39"/>
        <v>0</v>
      </c>
      <c r="CH748" s="1303"/>
      <c r="CI748" s="1285">
        <f t="shared" si="40"/>
        <v>0</v>
      </c>
      <c r="CJ748" s="1287"/>
      <c r="CK748" s="1301">
        <f t="shared" si="18"/>
        <v>0</v>
      </c>
      <c r="CL748" s="1303"/>
      <c r="CM748" s="1285">
        <f t="shared" si="19"/>
        <v>0</v>
      </c>
      <c r="CN748" s="1287"/>
      <c r="CO748" s="3"/>
      <c r="CP748" s="1282">
        <f t="shared" si="20"/>
        <v>0</v>
      </c>
      <c r="CQ748" s="1283"/>
      <c r="CR748" s="1283"/>
      <c r="CS748" s="1283"/>
      <c r="CT748" s="1284"/>
      <c r="CU748" s="1304">
        <f t="shared" si="21"/>
        <v>0</v>
      </c>
      <c r="CV748" s="1304"/>
      <c r="CW748" s="1304"/>
      <c r="CX748" s="1304"/>
      <c r="CY748" s="1304"/>
      <c r="CZ748" s="1304">
        <f t="shared" si="22"/>
        <v>0</v>
      </c>
      <c r="DA748" s="1304"/>
      <c r="DB748" s="1304"/>
      <c r="DC748" s="1304"/>
      <c r="DD748" s="1304"/>
      <c r="DE748" s="1304">
        <f t="shared" si="23"/>
        <v>0</v>
      </c>
      <c r="DF748" s="1304"/>
      <c r="DG748" s="1304"/>
      <c r="DH748" s="1304"/>
      <c r="DI748" s="1304"/>
      <c r="DJ748" s="1304">
        <f t="shared" si="24"/>
        <v>0</v>
      </c>
      <c r="DK748" s="1304"/>
      <c r="DL748" s="1304"/>
      <c r="DM748" s="1304"/>
      <c r="DN748" s="1304"/>
      <c r="DO748" s="1304">
        <f t="shared" si="25"/>
        <v>0</v>
      </c>
      <c r="DP748" s="1304"/>
      <c r="DQ748" s="1304"/>
      <c r="DR748" s="1304"/>
      <c r="DS748" s="1304"/>
      <c r="DT748" s="6"/>
      <c r="DU748" s="1323">
        <f t="shared" si="26"/>
        <v>0</v>
      </c>
      <c r="DV748" s="1323"/>
      <c r="DW748" s="1323"/>
      <c r="DX748" s="1323"/>
      <c r="DY748" s="1323"/>
      <c r="DZ748" s="1323">
        <f t="shared" si="27"/>
        <v>0</v>
      </c>
      <c r="EA748" s="1323"/>
      <c r="EB748" s="1323"/>
      <c r="EC748" s="1323"/>
      <c r="ED748" s="1323"/>
      <c r="EE748" s="1323">
        <f t="shared" si="28"/>
        <v>0</v>
      </c>
      <c r="EF748" s="1323"/>
      <c r="EG748" s="1323"/>
      <c r="EH748" s="1323"/>
      <c r="EI748" s="1323"/>
      <c r="EJ748" s="1323">
        <f t="shared" si="29"/>
        <v>0</v>
      </c>
      <c r="EK748" s="1323"/>
      <c r="EL748" s="1323"/>
      <c r="EM748" s="1323"/>
      <c r="EN748" s="1323"/>
      <c r="EO748" s="1323">
        <f t="shared" si="30"/>
        <v>0</v>
      </c>
      <c r="EP748" s="1323"/>
      <c r="EQ748" s="1323"/>
      <c r="ER748" s="1323"/>
      <c r="ES748" s="1323"/>
      <c r="ET748" s="1323">
        <f t="shared" si="31"/>
        <v>0</v>
      </c>
      <c r="EU748" s="1323"/>
      <c r="EV748" s="1323"/>
      <c r="EW748" s="1323"/>
      <c r="EX748" s="1323"/>
      <c r="EZ748" s="1301" t="str">
        <f t="shared" si="32"/>
        <v/>
      </c>
      <c r="FA748" s="1302"/>
      <c r="FB748" s="1302"/>
      <c r="FC748" s="1302"/>
      <c r="FD748" s="1303"/>
      <c r="FE748" s="1301" t="str">
        <f t="shared" si="33"/>
        <v/>
      </c>
      <c r="FF748" s="1302"/>
      <c r="FG748" s="1302"/>
      <c r="FH748" s="1302"/>
      <c r="FI748" s="1303"/>
      <c r="FJ748" s="1301" t="str">
        <f t="shared" si="34"/>
        <v/>
      </c>
      <c r="FK748" s="1302"/>
      <c r="FL748" s="1302"/>
      <c r="FM748" s="1302"/>
      <c r="FN748" s="1303"/>
      <c r="FO748" s="1301" t="str">
        <f t="shared" si="35"/>
        <v/>
      </c>
      <c r="FP748" s="1302"/>
      <c r="FQ748" s="1302"/>
      <c r="FR748" s="1302"/>
      <c r="FS748" s="1303"/>
      <c r="FT748" s="1301" t="str">
        <f t="shared" si="36"/>
        <v/>
      </c>
      <c r="FU748" s="1302"/>
      <c r="FV748" s="1302"/>
      <c r="FW748" s="1302"/>
      <c r="FX748" s="1303"/>
      <c r="FY748" s="1301" t="str">
        <f t="shared" si="37"/>
        <v/>
      </c>
      <c r="FZ748" s="1302"/>
      <c r="GA748" s="1302"/>
      <c r="GB748" s="1302"/>
      <c r="GC748" s="1303"/>
    </row>
    <row r="749" spans="1:185" ht="12.95" customHeight="1">
      <c r="B749" s="1305"/>
      <c r="C749" s="1306"/>
      <c r="D749" s="1306"/>
      <c r="E749" s="1306"/>
      <c r="F749" s="1307"/>
      <c r="G749" s="1314"/>
      <c r="H749" s="1315"/>
      <c r="I749" s="1315"/>
      <c r="J749" s="1316"/>
      <c r="K749" s="1524"/>
      <c r="L749" s="1525"/>
      <c r="M749" s="1525"/>
      <c r="N749" s="1526"/>
      <c r="O749" s="1320"/>
      <c r="P749" s="1321"/>
      <c r="Q749" s="1321"/>
      <c r="R749" s="1321"/>
      <c r="S749" s="1322"/>
      <c r="T749" s="1320"/>
      <c r="U749" s="1321"/>
      <c r="V749" s="1321"/>
      <c r="W749" s="1322"/>
      <c r="X749" s="1308">
        <f t="shared" si="10"/>
        <v>0</v>
      </c>
      <c r="Y749" s="1309"/>
      <c r="Z749" s="1309"/>
      <c r="AA749" s="1309"/>
      <c r="AB749" s="1310"/>
      <c r="AC749" s="1317"/>
      <c r="AD749" s="1318"/>
      <c r="AE749" s="1318"/>
      <c r="AF749" s="1318"/>
      <c r="AG749" s="1319"/>
      <c r="AH749" s="1311" t="str">
        <f t="shared" si="38"/>
        <v/>
      </c>
      <c r="AI749" s="1312"/>
      <c r="AJ749" s="1313"/>
      <c r="AK749" s="1305" t="s">
        <v>591</v>
      </c>
      <c r="AL749" s="1306"/>
      <c r="AM749" s="1306"/>
      <c r="AN749" s="1306"/>
      <c r="AO749" s="1307"/>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01">
        <f t="shared" si="39"/>
        <v>0</v>
      </c>
      <c r="CH749" s="1303"/>
      <c r="CI749" s="1285">
        <f t="shared" si="40"/>
        <v>0</v>
      </c>
      <c r="CJ749" s="1287"/>
      <c r="CK749" s="1301">
        <f t="shared" si="18"/>
        <v>0</v>
      </c>
      <c r="CL749" s="1303"/>
      <c r="CM749" s="1285">
        <f t="shared" si="19"/>
        <v>0</v>
      </c>
      <c r="CN749" s="1287"/>
      <c r="CO749" s="3"/>
      <c r="CP749" s="1282">
        <f t="shared" si="20"/>
        <v>0</v>
      </c>
      <c r="CQ749" s="1283"/>
      <c r="CR749" s="1283"/>
      <c r="CS749" s="1283"/>
      <c r="CT749" s="1284"/>
      <c r="CU749" s="1304">
        <f t="shared" si="21"/>
        <v>0</v>
      </c>
      <c r="CV749" s="1304"/>
      <c r="CW749" s="1304"/>
      <c r="CX749" s="1304"/>
      <c r="CY749" s="1304"/>
      <c r="CZ749" s="1304">
        <f t="shared" si="22"/>
        <v>0</v>
      </c>
      <c r="DA749" s="1304"/>
      <c r="DB749" s="1304"/>
      <c r="DC749" s="1304"/>
      <c r="DD749" s="1304"/>
      <c r="DE749" s="1304">
        <f t="shared" si="23"/>
        <v>0</v>
      </c>
      <c r="DF749" s="1304"/>
      <c r="DG749" s="1304"/>
      <c r="DH749" s="1304"/>
      <c r="DI749" s="1304"/>
      <c r="DJ749" s="1304">
        <f t="shared" si="24"/>
        <v>0</v>
      </c>
      <c r="DK749" s="1304"/>
      <c r="DL749" s="1304"/>
      <c r="DM749" s="1304"/>
      <c r="DN749" s="1304"/>
      <c r="DO749" s="1304">
        <f t="shared" si="25"/>
        <v>0</v>
      </c>
      <c r="DP749" s="1304"/>
      <c r="DQ749" s="1304"/>
      <c r="DR749" s="1304"/>
      <c r="DS749" s="1304"/>
      <c r="DT749" s="6"/>
      <c r="DU749" s="1323">
        <f t="shared" si="26"/>
        <v>0</v>
      </c>
      <c r="DV749" s="1323"/>
      <c r="DW749" s="1323"/>
      <c r="DX749" s="1323"/>
      <c r="DY749" s="1323"/>
      <c r="DZ749" s="1323">
        <f t="shared" si="27"/>
        <v>0</v>
      </c>
      <c r="EA749" s="1323"/>
      <c r="EB749" s="1323"/>
      <c r="EC749" s="1323"/>
      <c r="ED749" s="1323"/>
      <c r="EE749" s="1323">
        <f t="shared" si="28"/>
        <v>0</v>
      </c>
      <c r="EF749" s="1323"/>
      <c r="EG749" s="1323"/>
      <c r="EH749" s="1323"/>
      <c r="EI749" s="1323"/>
      <c r="EJ749" s="1323">
        <f t="shared" si="29"/>
        <v>0</v>
      </c>
      <c r="EK749" s="1323"/>
      <c r="EL749" s="1323"/>
      <c r="EM749" s="1323"/>
      <c r="EN749" s="1323"/>
      <c r="EO749" s="1323">
        <f t="shared" si="30"/>
        <v>0</v>
      </c>
      <c r="EP749" s="1323"/>
      <c r="EQ749" s="1323"/>
      <c r="ER749" s="1323"/>
      <c r="ES749" s="1323"/>
      <c r="ET749" s="1323">
        <f t="shared" si="31"/>
        <v>0</v>
      </c>
      <c r="EU749" s="1323"/>
      <c r="EV749" s="1323"/>
      <c r="EW749" s="1323"/>
      <c r="EX749" s="1323"/>
      <c r="EZ749" s="1301" t="str">
        <f t="shared" si="32"/>
        <v/>
      </c>
      <c r="FA749" s="1302"/>
      <c r="FB749" s="1302"/>
      <c r="FC749" s="1302"/>
      <c r="FD749" s="1303"/>
      <c r="FE749" s="1301" t="str">
        <f t="shared" si="33"/>
        <v/>
      </c>
      <c r="FF749" s="1302"/>
      <c r="FG749" s="1302"/>
      <c r="FH749" s="1302"/>
      <c r="FI749" s="1303"/>
      <c r="FJ749" s="1301" t="str">
        <f t="shared" si="34"/>
        <v/>
      </c>
      <c r="FK749" s="1302"/>
      <c r="FL749" s="1302"/>
      <c r="FM749" s="1302"/>
      <c r="FN749" s="1303"/>
      <c r="FO749" s="1301" t="str">
        <f t="shared" si="35"/>
        <v/>
      </c>
      <c r="FP749" s="1302"/>
      <c r="FQ749" s="1302"/>
      <c r="FR749" s="1302"/>
      <c r="FS749" s="1303"/>
      <c r="FT749" s="1301" t="str">
        <f t="shared" si="36"/>
        <v/>
      </c>
      <c r="FU749" s="1302"/>
      <c r="FV749" s="1302"/>
      <c r="FW749" s="1302"/>
      <c r="FX749" s="1303"/>
      <c r="FY749" s="1301" t="str">
        <f t="shared" si="37"/>
        <v/>
      </c>
      <c r="FZ749" s="1302"/>
      <c r="GA749" s="1302"/>
      <c r="GB749" s="1302"/>
      <c r="GC749" s="1303"/>
    </row>
    <row r="750" spans="1:185" ht="12.95" customHeight="1">
      <c r="B750" s="1305"/>
      <c r="C750" s="1306"/>
      <c r="D750" s="1306"/>
      <c r="E750" s="1306"/>
      <c r="F750" s="1307"/>
      <c r="G750" s="1314"/>
      <c r="H750" s="1315"/>
      <c r="I750" s="1315"/>
      <c r="J750" s="1316"/>
      <c r="K750" s="1524"/>
      <c r="L750" s="1525"/>
      <c r="M750" s="1525"/>
      <c r="N750" s="1526"/>
      <c r="O750" s="1320"/>
      <c r="P750" s="1321"/>
      <c r="Q750" s="1321"/>
      <c r="R750" s="1321"/>
      <c r="S750" s="1322"/>
      <c r="T750" s="1320"/>
      <c r="U750" s="1321"/>
      <c r="V750" s="1321"/>
      <c r="W750" s="1322"/>
      <c r="X750" s="1308">
        <f t="shared" ref="X750:X759" si="41">O750+T750</f>
        <v>0</v>
      </c>
      <c r="Y750" s="1309"/>
      <c r="Z750" s="1309"/>
      <c r="AA750" s="1309"/>
      <c r="AB750" s="1310"/>
      <c r="AC750" s="1317"/>
      <c r="AD750" s="1318"/>
      <c r="AE750" s="1318"/>
      <c r="AF750" s="1318"/>
      <c r="AG750" s="1319"/>
      <c r="AH750" s="1311" t="str">
        <f t="shared" si="38"/>
        <v/>
      </c>
      <c r="AI750" s="1312"/>
      <c r="AJ750" s="1313"/>
      <c r="AK750" s="1305" t="s">
        <v>591</v>
      </c>
      <c r="AL750" s="1306"/>
      <c r="AM750" s="1306"/>
      <c r="AN750" s="1306"/>
      <c r="AO750" s="1307"/>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01">
        <f t="shared" si="39"/>
        <v>0</v>
      </c>
      <c r="CH750" s="1303"/>
      <c r="CI750" s="1285">
        <f t="shared" si="40"/>
        <v>0</v>
      </c>
      <c r="CJ750" s="1287"/>
      <c r="CK750" s="1301">
        <f t="shared" si="18"/>
        <v>0</v>
      </c>
      <c r="CL750" s="1303"/>
      <c r="CM750" s="1285">
        <f t="shared" si="19"/>
        <v>0</v>
      </c>
      <c r="CN750" s="1287"/>
      <c r="CO750" s="3"/>
      <c r="CP750" s="1282">
        <f t="shared" si="20"/>
        <v>0</v>
      </c>
      <c r="CQ750" s="1283"/>
      <c r="CR750" s="1283"/>
      <c r="CS750" s="1283"/>
      <c r="CT750" s="1284"/>
      <c r="CU750" s="1304">
        <f t="shared" si="21"/>
        <v>0</v>
      </c>
      <c r="CV750" s="1304"/>
      <c r="CW750" s="1304"/>
      <c r="CX750" s="1304"/>
      <c r="CY750" s="1304"/>
      <c r="CZ750" s="1304">
        <f t="shared" si="22"/>
        <v>0</v>
      </c>
      <c r="DA750" s="1304"/>
      <c r="DB750" s="1304"/>
      <c r="DC750" s="1304"/>
      <c r="DD750" s="1304"/>
      <c r="DE750" s="1304">
        <f t="shared" si="23"/>
        <v>0</v>
      </c>
      <c r="DF750" s="1304"/>
      <c r="DG750" s="1304"/>
      <c r="DH750" s="1304"/>
      <c r="DI750" s="1304"/>
      <c r="DJ750" s="1304">
        <f t="shared" si="24"/>
        <v>0</v>
      </c>
      <c r="DK750" s="1304"/>
      <c r="DL750" s="1304"/>
      <c r="DM750" s="1304"/>
      <c r="DN750" s="1304"/>
      <c r="DO750" s="1304">
        <f t="shared" si="25"/>
        <v>0</v>
      </c>
      <c r="DP750" s="1304"/>
      <c r="DQ750" s="1304"/>
      <c r="DR750" s="1304"/>
      <c r="DS750" s="1304"/>
      <c r="DT750" s="6"/>
      <c r="DU750" s="1323">
        <f t="shared" si="26"/>
        <v>0</v>
      </c>
      <c r="DV750" s="1323"/>
      <c r="DW750" s="1323"/>
      <c r="DX750" s="1323"/>
      <c r="DY750" s="1323"/>
      <c r="DZ750" s="1323">
        <f t="shared" si="27"/>
        <v>0</v>
      </c>
      <c r="EA750" s="1323"/>
      <c r="EB750" s="1323"/>
      <c r="EC750" s="1323"/>
      <c r="ED750" s="1323"/>
      <c r="EE750" s="1323">
        <f t="shared" si="28"/>
        <v>0</v>
      </c>
      <c r="EF750" s="1323"/>
      <c r="EG750" s="1323"/>
      <c r="EH750" s="1323"/>
      <c r="EI750" s="1323"/>
      <c r="EJ750" s="1323">
        <f t="shared" si="29"/>
        <v>0</v>
      </c>
      <c r="EK750" s="1323"/>
      <c r="EL750" s="1323"/>
      <c r="EM750" s="1323"/>
      <c r="EN750" s="1323"/>
      <c r="EO750" s="1323">
        <f t="shared" si="30"/>
        <v>0</v>
      </c>
      <c r="EP750" s="1323"/>
      <c r="EQ750" s="1323"/>
      <c r="ER750" s="1323"/>
      <c r="ES750" s="1323"/>
      <c r="ET750" s="1323">
        <f t="shared" si="31"/>
        <v>0</v>
      </c>
      <c r="EU750" s="1323"/>
      <c r="EV750" s="1323"/>
      <c r="EW750" s="1323"/>
      <c r="EX750" s="1323"/>
      <c r="EZ750" s="1301" t="str">
        <f t="shared" si="32"/>
        <v/>
      </c>
      <c r="FA750" s="1302"/>
      <c r="FB750" s="1302"/>
      <c r="FC750" s="1302"/>
      <c r="FD750" s="1303"/>
      <c r="FE750" s="1301" t="str">
        <f t="shared" si="33"/>
        <v/>
      </c>
      <c r="FF750" s="1302"/>
      <c r="FG750" s="1302"/>
      <c r="FH750" s="1302"/>
      <c r="FI750" s="1303"/>
      <c r="FJ750" s="1301" t="str">
        <f t="shared" si="34"/>
        <v/>
      </c>
      <c r="FK750" s="1302"/>
      <c r="FL750" s="1302"/>
      <c r="FM750" s="1302"/>
      <c r="FN750" s="1303"/>
      <c r="FO750" s="1301" t="str">
        <f t="shared" si="35"/>
        <v/>
      </c>
      <c r="FP750" s="1302"/>
      <c r="FQ750" s="1302"/>
      <c r="FR750" s="1302"/>
      <c r="FS750" s="1303"/>
      <c r="FT750" s="1301" t="str">
        <f t="shared" si="36"/>
        <v/>
      </c>
      <c r="FU750" s="1302"/>
      <c r="FV750" s="1302"/>
      <c r="FW750" s="1302"/>
      <c r="FX750" s="1303"/>
      <c r="FY750" s="1301" t="str">
        <f t="shared" si="37"/>
        <v/>
      </c>
      <c r="FZ750" s="1302"/>
      <c r="GA750" s="1302"/>
      <c r="GB750" s="1302"/>
      <c r="GC750" s="1303"/>
    </row>
    <row r="751" spans="1:185" s="3" customFormat="1" ht="12.95" customHeight="1">
      <c r="A751"/>
      <c r="B751" s="1305"/>
      <c r="C751" s="1306"/>
      <c r="D751" s="1306"/>
      <c r="E751" s="1306"/>
      <c r="F751" s="1307"/>
      <c r="G751" s="1314"/>
      <c r="H751" s="1315"/>
      <c r="I751" s="1315"/>
      <c r="J751" s="1316"/>
      <c r="K751" s="1524"/>
      <c r="L751" s="1525"/>
      <c r="M751" s="1525"/>
      <c r="N751" s="1526"/>
      <c r="O751" s="1320"/>
      <c r="P751" s="1321"/>
      <c r="Q751" s="1321"/>
      <c r="R751" s="1321"/>
      <c r="S751" s="1322"/>
      <c r="T751" s="1320"/>
      <c r="U751" s="1321"/>
      <c r="V751" s="1321"/>
      <c r="W751" s="1322"/>
      <c r="X751" s="1308">
        <f t="shared" si="41"/>
        <v>0</v>
      </c>
      <c r="Y751" s="1309"/>
      <c r="Z751" s="1309"/>
      <c r="AA751" s="1309"/>
      <c r="AB751" s="1310"/>
      <c r="AC751" s="1317"/>
      <c r="AD751" s="1318"/>
      <c r="AE751" s="1318"/>
      <c r="AF751" s="1318"/>
      <c r="AG751" s="1319"/>
      <c r="AH751" s="1311" t="str">
        <f t="shared" si="38"/>
        <v/>
      </c>
      <c r="AI751" s="1312"/>
      <c r="AJ751" s="1313"/>
      <c r="AK751" s="1305" t="s">
        <v>591</v>
      </c>
      <c r="AL751" s="1306"/>
      <c r="AM751" s="1306"/>
      <c r="AN751" s="1306"/>
      <c r="AO751" s="1307"/>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01">
        <f t="shared" si="39"/>
        <v>0</v>
      </c>
      <c r="CH751" s="1303"/>
      <c r="CI751" s="1285">
        <f t="shared" si="40"/>
        <v>0</v>
      </c>
      <c r="CJ751" s="1287"/>
      <c r="CK751" s="1301">
        <f t="shared" si="18"/>
        <v>0</v>
      </c>
      <c r="CL751" s="1303"/>
      <c r="CM751" s="1285">
        <f t="shared" si="19"/>
        <v>0</v>
      </c>
      <c r="CN751" s="1287"/>
      <c r="CP751" s="1282">
        <f t="shared" si="20"/>
        <v>0</v>
      </c>
      <c r="CQ751" s="1283"/>
      <c r="CR751" s="1283"/>
      <c r="CS751" s="1283"/>
      <c r="CT751" s="1284"/>
      <c r="CU751" s="1304">
        <f t="shared" si="21"/>
        <v>0</v>
      </c>
      <c r="CV751" s="1304"/>
      <c r="CW751" s="1304"/>
      <c r="CX751" s="1304"/>
      <c r="CY751" s="1304"/>
      <c r="CZ751" s="1304">
        <f t="shared" si="22"/>
        <v>0</v>
      </c>
      <c r="DA751" s="1304"/>
      <c r="DB751" s="1304"/>
      <c r="DC751" s="1304"/>
      <c r="DD751" s="1304"/>
      <c r="DE751" s="1304">
        <f t="shared" si="23"/>
        <v>0</v>
      </c>
      <c r="DF751" s="1304"/>
      <c r="DG751" s="1304"/>
      <c r="DH751" s="1304"/>
      <c r="DI751" s="1304"/>
      <c r="DJ751" s="1304">
        <f t="shared" si="24"/>
        <v>0</v>
      </c>
      <c r="DK751" s="1304"/>
      <c r="DL751" s="1304"/>
      <c r="DM751" s="1304"/>
      <c r="DN751" s="1304"/>
      <c r="DO751" s="1304">
        <f t="shared" si="25"/>
        <v>0</v>
      </c>
      <c r="DP751" s="1304"/>
      <c r="DQ751" s="1304"/>
      <c r="DR751" s="1304"/>
      <c r="DS751" s="1304"/>
      <c r="DT751" s="6"/>
      <c r="DU751" s="1323">
        <f t="shared" si="26"/>
        <v>0</v>
      </c>
      <c r="DV751" s="1323"/>
      <c r="DW751" s="1323"/>
      <c r="DX751" s="1323"/>
      <c r="DY751" s="1323"/>
      <c r="DZ751" s="1323">
        <f t="shared" si="27"/>
        <v>0</v>
      </c>
      <c r="EA751" s="1323"/>
      <c r="EB751" s="1323"/>
      <c r="EC751" s="1323"/>
      <c r="ED751" s="1323"/>
      <c r="EE751" s="1323">
        <f t="shared" si="28"/>
        <v>0</v>
      </c>
      <c r="EF751" s="1323"/>
      <c r="EG751" s="1323"/>
      <c r="EH751" s="1323"/>
      <c r="EI751" s="1323"/>
      <c r="EJ751" s="1323">
        <f t="shared" si="29"/>
        <v>0</v>
      </c>
      <c r="EK751" s="1323"/>
      <c r="EL751" s="1323"/>
      <c r="EM751" s="1323"/>
      <c r="EN751" s="1323"/>
      <c r="EO751" s="1323">
        <f t="shared" si="30"/>
        <v>0</v>
      </c>
      <c r="EP751" s="1323"/>
      <c r="EQ751" s="1323"/>
      <c r="ER751" s="1323"/>
      <c r="ES751" s="1323"/>
      <c r="ET751" s="1323">
        <f t="shared" si="31"/>
        <v>0</v>
      </c>
      <c r="EU751" s="1323"/>
      <c r="EV751" s="1323"/>
      <c r="EW751" s="1323"/>
      <c r="EX751" s="1323"/>
      <c r="EY751"/>
      <c r="EZ751" s="1301" t="str">
        <f t="shared" si="32"/>
        <v/>
      </c>
      <c r="FA751" s="1302"/>
      <c r="FB751" s="1302"/>
      <c r="FC751" s="1302"/>
      <c r="FD751" s="1303"/>
      <c r="FE751" s="1301" t="str">
        <f t="shared" si="33"/>
        <v/>
      </c>
      <c r="FF751" s="1302"/>
      <c r="FG751" s="1302"/>
      <c r="FH751" s="1302"/>
      <c r="FI751" s="1303"/>
      <c r="FJ751" s="1301" t="str">
        <f t="shared" si="34"/>
        <v/>
      </c>
      <c r="FK751" s="1302"/>
      <c r="FL751" s="1302"/>
      <c r="FM751" s="1302"/>
      <c r="FN751" s="1303"/>
      <c r="FO751" s="1301" t="str">
        <f t="shared" si="35"/>
        <v/>
      </c>
      <c r="FP751" s="1302"/>
      <c r="FQ751" s="1302"/>
      <c r="FR751" s="1302"/>
      <c r="FS751" s="1303"/>
      <c r="FT751" s="1301" t="str">
        <f t="shared" si="36"/>
        <v/>
      </c>
      <c r="FU751" s="1302"/>
      <c r="FV751" s="1302"/>
      <c r="FW751" s="1302"/>
      <c r="FX751" s="1303"/>
      <c r="FY751" s="1301" t="str">
        <f t="shared" si="37"/>
        <v/>
      </c>
      <c r="FZ751" s="1302"/>
      <c r="GA751" s="1302"/>
      <c r="GB751" s="1302"/>
      <c r="GC751" s="1303"/>
    </row>
    <row r="752" spans="1:185" ht="12.95" customHeight="1">
      <c r="B752" s="1305"/>
      <c r="C752" s="1306"/>
      <c r="D752" s="1306"/>
      <c r="E752" s="1306"/>
      <c r="F752" s="1307"/>
      <c r="G752" s="1314"/>
      <c r="H752" s="1315"/>
      <c r="I752" s="1315"/>
      <c r="J752" s="1316"/>
      <c r="K752" s="1524"/>
      <c r="L752" s="1525"/>
      <c r="M752" s="1525"/>
      <c r="N752" s="1526"/>
      <c r="O752" s="1320"/>
      <c r="P752" s="1321"/>
      <c r="Q752" s="1321"/>
      <c r="R752" s="1321"/>
      <c r="S752" s="1322"/>
      <c r="T752" s="1320"/>
      <c r="U752" s="1321"/>
      <c r="V752" s="1321"/>
      <c r="W752" s="1322"/>
      <c r="X752" s="1308">
        <f t="shared" si="41"/>
        <v>0</v>
      </c>
      <c r="Y752" s="1309"/>
      <c r="Z752" s="1309"/>
      <c r="AA752" s="1309"/>
      <c r="AB752" s="1310"/>
      <c r="AC752" s="1317"/>
      <c r="AD752" s="1318"/>
      <c r="AE752" s="1318"/>
      <c r="AF752" s="1318"/>
      <c r="AG752" s="1319"/>
      <c r="AH752" s="1311" t="str">
        <f t="shared" si="38"/>
        <v/>
      </c>
      <c r="AI752" s="1312"/>
      <c r="AJ752" s="1313"/>
      <c r="AK752" s="1305" t="s">
        <v>591</v>
      </c>
      <c r="AL752" s="1306"/>
      <c r="AM752" s="1306"/>
      <c r="AN752" s="1306"/>
      <c r="AO752" s="1307"/>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01">
        <f t="shared" si="39"/>
        <v>0</v>
      </c>
      <c r="CH752" s="1303"/>
      <c r="CI752" s="1285">
        <f t="shared" si="40"/>
        <v>0</v>
      </c>
      <c r="CJ752" s="1287"/>
      <c r="CK752" s="1301">
        <f t="shared" si="18"/>
        <v>0</v>
      </c>
      <c r="CL752" s="1303"/>
      <c r="CM752" s="1285">
        <f t="shared" si="19"/>
        <v>0</v>
      </c>
      <c r="CN752" s="1287"/>
      <c r="CO752" s="3"/>
      <c r="CP752" s="1282">
        <f t="shared" si="20"/>
        <v>0</v>
      </c>
      <c r="CQ752" s="1283"/>
      <c r="CR752" s="1283"/>
      <c r="CS752" s="1283"/>
      <c r="CT752" s="1284"/>
      <c r="CU752" s="1304">
        <f t="shared" si="21"/>
        <v>0</v>
      </c>
      <c r="CV752" s="1304"/>
      <c r="CW752" s="1304"/>
      <c r="CX752" s="1304"/>
      <c r="CY752" s="1304"/>
      <c r="CZ752" s="1304">
        <f t="shared" si="22"/>
        <v>0</v>
      </c>
      <c r="DA752" s="1304"/>
      <c r="DB752" s="1304"/>
      <c r="DC752" s="1304"/>
      <c r="DD752" s="1304"/>
      <c r="DE752" s="1304">
        <f t="shared" si="23"/>
        <v>0</v>
      </c>
      <c r="DF752" s="1304"/>
      <c r="DG752" s="1304"/>
      <c r="DH752" s="1304"/>
      <c r="DI752" s="1304"/>
      <c r="DJ752" s="1304">
        <f t="shared" si="24"/>
        <v>0</v>
      </c>
      <c r="DK752" s="1304"/>
      <c r="DL752" s="1304"/>
      <c r="DM752" s="1304"/>
      <c r="DN752" s="1304"/>
      <c r="DO752" s="1304">
        <f t="shared" si="25"/>
        <v>0</v>
      </c>
      <c r="DP752" s="1304"/>
      <c r="DQ752" s="1304"/>
      <c r="DR752" s="1304"/>
      <c r="DS752" s="1304"/>
      <c r="DT752" s="6"/>
      <c r="DU752" s="1323">
        <f t="shared" si="26"/>
        <v>0</v>
      </c>
      <c r="DV752" s="1323"/>
      <c r="DW752" s="1323"/>
      <c r="DX752" s="1323"/>
      <c r="DY752" s="1323"/>
      <c r="DZ752" s="1323">
        <f t="shared" si="27"/>
        <v>0</v>
      </c>
      <c r="EA752" s="1323"/>
      <c r="EB752" s="1323"/>
      <c r="EC752" s="1323"/>
      <c r="ED752" s="1323"/>
      <c r="EE752" s="1323">
        <f t="shared" si="28"/>
        <v>0</v>
      </c>
      <c r="EF752" s="1323"/>
      <c r="EG752" s="1323"/>
      <c r="EH752" s="1323"/>
      <c r="EI752" s="1323"/>
      <c r="EJ752" s="1323">
        <f t="shared" si="29"/>
        <v>0</v>
      </c>
      <c r="EK752" s="1323"/>
      <c r="EL752" s="1323"/>
      <c r="EM752" s="1323"/>
      <c r="EN752" s="1323"/>
      <c r="EO752" s="1323">
        <f t="shared" si="30"/>
        <v>0</v>
      </c>
      <c r="EP752" s="1323"/>
      <c r="EQ752" s="1323"/>
      <c r="ER752" s="1323"/>
      <c r="ES752" s="1323"/>
      <c r="ET752" s="1323">
        <f t="shared" si="31"/>
        <v>0</v>
      </c>
      <c r="EU752" s="1323"/>
      <c r="EV752" s="1323"/>
      <c r="EW752" s="1323"/>
      <c r="EX752" s="1323"/>
      <c r="EZ752" s="1301" t="str">
        <f t="shared" si="32"/>
        <v/>
      </c>
      <c r="FA752" s="1302"/>
      <c r="FB752" s="1302"/>
      <c r="FC752" s="1302"/>
      <c r="FD752" s="1303"/>
      <c r="FE752" s="1301" t="str">
        <f t="shared" si="33"/>
        <v/>
      </c>
      <c r="FF752" s="1302"/>
      <c r="FG752" s="1302"/>
      <c r="FH752" s="1302"/>
      <c r="FI752" s="1303"/>
      <c r="FJ752" s="1301" t="str">
        <f t="shared" si="34"/>
        <v/>
      </c>
      <c r="FK752" s="1302"/>
      <c r="FL752" s="1302"/>
      <c r="FM752" s="1302"/>
      <c r="FN752" s="1303"/>
      <c r="FO752" s="1301" t="str">
        <f t="shared" si="35"/>
        <v/>
      </c>
      <c r="FP752" s="1302"/>
      <c r="FQ752" s="1302"/>
      <c r="FR752" s="1302"/>
      <c r="FS752" s="1303"/>
      <c r="FT752" s="1301" t="str">
        <f t="shared" si="36"/>
        <v/>
      </c>
      <c r="FU752" s="1302"/>
      <c r="FV752" s="1302"/>
      <c r="FW752" s="1302"/>
      <c r="FX752" s="1303"/>
      <c r="FY752" s="1301" t="str">
        <f t="shared" si="37"/>
        <v/>
      </c>
      <c r="FZ752" s="1302"/>
      <c r="GA752" s="1302"/>
      <c r="GB752" s="1302"/>
      <c r="GC752" s="1303"/>
    </row>
    <row r="753" spans="1:185" ht="12.95" customHeight="1">
      <c r="B753" s="1305"/>
      <c r="C753" s="1306"/>
      <c r="D753" s="1306"/>
      <c r="E753" s="1306"/>
      <c r="F753" s="1307"/>
      <c r="G753" s="1314"/>
      <c r="H753" s="1315"/>
      <c r="I753" s="1315"/>
      <c r="J753" s="1316"/>
      <c r="K753" s="1524"/>
      <c r="L753" s="1525"/>
      <c r="M753" s="1525"/>
      <c r="N753" s="1526"/>
      <c r="O753" s="1320"/>
      <c r="P753" s="1321"/>
      <c r="Q753" s="1321"/>
      <c r="R753" s="1321"/>
      <c r="S753" s="1322"/>
      <c r="T753" s="1320"/>
      <c r="U753" s="1321"/>
      <c r="V753" s="1321"/>
      <c r="W753" s="1322"/>
      <c r="X753" s="1308">
        <f t="shared" si="41"/>
        <v>0</v>
      </c>
      <c r="Y753" s="1309"/>
      <c r="Z753" s="1309"/>
      <c r="AA753" s="1309"/>
      <c r="AB753" s="1310"/>
      <c r="AC753" s="1317"/>
      <c r="AD753" s="1318"/>
      <c r="AE753" s="1318"/>
      <c r="AF753" s="1318"/>
      <c r="AG753" s="1319"/>
      <c r="AH753" s="1311" t="str">
        <f t="shared" si="38"/>
        <v/>
      </c>
      <c r="AI753" s="1312"/>
      <c r="AJ753" s="1313"/>
      <c r="AK753" s="1305" t="s">
        <v>591</v>
      </c>
      <c r="AL753" s="1306"/>
      <c r="AM753" s="1306"/>
      <c r="AN753" s="1306"/>
      <c r="AO753" s="1307"/>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01">
        <f t="shared" si="39"/>
        <v>0</v>
      </c>
      <c r="CH753" s="1303"/>
      <c r="CI753" s="1285">
        <f t="shared" si="40"/>
        <v>0</v>
      </c>
      <c r="CJ753" s="1287"/>
      <c r="CK753" s="1301">
        <f t="shared" si="18"/>
        <v>0</v>
      </c>
      <c r="CL753" s="1303"/>
      <c r="CM753" s="1285">
        <f t="shared" si="19"/>
        <v>0</v>
      </c>
      <c r="CN753" s="1287"/>
      <c r="CO753" s="3"/>
      <c r="CP753" s="1282">
        <f t="shared" si="20"/>
        <v>0</v>
      </c>
      <c r="CQ753" s="1283"/>
      <c r="CR753" s="1283"/>
      <c r="CS753" s="1283"/>
      <c r="CT753" s="1284"/>
      <c r="CU753" s="1304">
        <f t="shared" si="21"/>
        <v>0</v>
      </c>
      <c r="CV753" s="1304"/>
      <c r="CW753" s="1304"/>
      <c r="CX753" s="1304"/>
      <c r="CY753" s="1304"/>
      <c r="CZ753" s="1304">
        <f t="shared" si="22"/>
        <v>0</v>
      </c>
      <c r="DA753" s="1304"/>
      <c r="DB753" s="1304"/>
      <c r="DC753" s="1304"/>
      <c r="DD753" s="1304"/>
      <c r="DE753" s="1304">
        <f t="shared" si="23"/>
        <v>0</v>
      </c>
      <c r="DF753" s="1304"/>
      <c r="DG753" s="1304"/>
      <c r="DH753" s="1304"/>
      <c r="DI753" s="1304"/>
      <c r="DJ753" s="1304">
        <f t="shared" si="24"/>
        <v>0</v>
      </c>
      <c r="DK753" s="1304"/>
      <c r="DL753" s="1304"/>
      <c r="DM753" s="1304"/>
      <c r="DN753" s="1304"/>
      <c r="DO753" s="1304">
        <f t="shared" si="25"/>
        <v>0</v>
      </c>
      <c r="DP753" s="1304"/>
      <c r="DQ753" s="1304"/>
      <c r="DR753" s="1304"/>
      <c r="DS753" s="1304"/>
      <c r="DT753" s="6"/>
      <c r="DU753" s="1323">
        <f t="shared" si="26"/>
        <v>0</v>
      </c>
      <c r="DV753" s="1323"/>
      <c r="DW753" s="1323"/>
      <c r="DX753" s="1323"/>
      <c r="DY753" s="1323"/>
      <c r="DZ753" s="1323">
        <f t="shared" si="27"/>
        <v>0</v>
      </c>
      <c r="EA753" s="1323"/>
      <c r="EB753" s="1323"/>
      <c r="EC753" s="1323"/>
      <c r="ED753" s="1323"/>
      <c r="EE753" s="1323">
        <f t="shared" si="28"/>
        <v>0</v>
      </c>
      <c r="EF753" s="1323"/>
      <c r="EG753" s="1323"/>
      <c r="EH753" s="1323"/>
      <c r="EI753" s="1323"/>
      <c r="EJ753" s="1323">
        <f t="shared" si="29"/>
        <v>0</v>
      </c>
      <c r="EK753" s="1323"/>
      <c r="EL753" s="1323"/>
      <c r="EM753" s="1323"/>
      <c r="EN753" s="1323"/>
      <c r="EO753" s="1323">
        <f t="shared" si="30"/>
        <v>0</v>
      </c>
      <c r="EP753" s="1323"/>
      <c r="EQ753" s="1323"/>
      <c r="ER753" s="1323"/>
      <c r="ES753" s="1323"/>
      <c r="ET753" s="1323">
        <f t="shared" si="31"/>
        <v>0</v>
      </c>
      <c r="EU753" s="1323"/>
      <c r="EV753" s="1323"/>
      <c r="EW753" s="1323"/>
      <c r="EX753" s="1323"/>
      <c r="EZ753" s="1301" t="str">
        <f t="shared" si="32"/>
        <v/>
      </c>
      <c r="FA753" s="1302"/>
      <c r="FB753" s="1302"/>
      <c r="FC753" s="1302"/>
      <c r="FD753" s="1303"/>
      <c r="FE753" s="1301" t="str">
        <f t="shared" si="33"/>
        <v/>
      </c>
      <c r="FF753" s="1302"/>
      <c r="FG753" s="1302"/>
      <c r="FH753" s="1302"/>
      <c r="FI753" s="1303"/>
      <c r="FJ753" s="1301" t="str">
        <f t="shared" si="34"/>
        <v/>
      </c>
      <c r="FK753" s="1302"/>
      <c r="FL753" s="1302"/>
      <c r="FM753" s="1302"/>
      <c r="FN753" s="1303"/>
      <c r="FO753" s="1301" t="str">
        <f t="shared" si="35"/>
        <v/>
      </c>
      <c r="FP753" s="1302"/>
      <c r="FQ753" s="1302"/>
      <c r="FR753" s="1302"/>
      <c r="FS753" s="1303"/>
      <c r="FT753" s="1301" t="str">
        <f t="shared" si="36"/>
        <v/>
      </c>
      <c r="FU753" s="1302"/>
      <c r="FV753" s="1302"/>
      <c r="FW753" s="1302"/>
      <c r="FX753" s="1303"/>
      <c r="FY753" s="1301" t="str">
        <f t="shared" si="37"/>
        <v/>
      </c>
      <c r="FZ753" s="1302"/>
      <c r="GA753" s="1302"/>
      <c r="GB753" s="1302"/>
      <c r="GC753" s="1303"/>
    </row>
    <row r="754" spans="1:185" ht="12.95" customHeight="1">
      <c r="B754" s="1305"/>
      <c r="C754" s="1306"/>
      <c r="D754" s="1306"/>
      <c r="E754" s="1306"/>
      <c r="F754" s="1307"/>
      <c r="G754" s="1314"/>
      <c r="H754" s="1315"/>
      <c r="I754" s="1315"/>
      <c r="J754" s="1316"/>
      <c r="K754" s="1524"/>
      <c r="L754" s="1525"/>
      <c r="M754" s="1525"/>
      <c r="N754" s="1526"/>
      <c r="O754" s="1320"/>
      <c r="P754" s="1321"/>
      <c r="Q754" s="1321"/>
      <c r="R754" s="1321"/>
      <c r="S754" s="1322"/>
      <c r="T754" s="1320"/>
      <c r="U754" s="1321"/>
      <c r="V754" s="1321"/>
      <c r="W754" s="1322"/>
      <c r="X754" s="1308">
        <f t="shared" si="41"/>
        <v>0</v>
      </c>
      <c r="Y754" s="1309"/>
      <c r="Z754" s="1309"/>
      <c r="AA754" s="1309"/>
      <c r="AB754" s="1310"/>
      <c r="AC754" s="1317"/>
      <c r="AD754" s="1318"/>
      <c r="AE754" s="1318"/>
      <c r="AF754" s="1318"/>
      <c r="AG754" s="1319"/>
      <c r="AH754" s="1311" t="str">
        <f t="shared" si="38"/>
        <v/>
      </c>
      <c r="AI754" s="1312"/>
      <c r="AJ754" s="1313"/>
      <c r="AK754" s="1305" t="s">
        <v>591</v>
      </c>
      <c r="AL754" s="1306"/>
      <c r="AM754" s="1306"/>
      <c r="AN754" s="1306"/>
      <c r="AO754" s="1307"/>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01">
        <f t="shared" si="39"/>
        <v>0</v>
      </c>
      <c r="CH754" s="1303"/>
      <c r="CI754" s="1285">
        <f t="shared" si="40"/>
        <v>0</v>
      </c>
      <c r="CJ754" s="1287"/>
      <c r="CK754" s="1301">
        <f t="shared" si="18"/>
        <v>0</v>
      </c>
      <c r="CL754" s="1303"/>
      <c r="CM754" s="1285">
        <f t="shared" si="19"/>
        <v>0</v>
      </c>
      <c r="CN754" s="1287"/>
      <c r="CO754" s="3"/>
      <c r="CP754" s="1282">
        <f t="shared" si="20"/>
        <v>0</v>
      </c>
      <c r="CQ754" s="1283"/>
      <c r="CR754" s="1283"/>
      <c r="CS754" s="1283"/>
      <c r="CT754" s="1284"/>
      <c r="CU754" s="1304">
        <f t="shared" si="21"/>
        <v>0</v>
      </c>
      <c r="CV754" s="1304"/>
      <c r="CW754" s="1304"/>
      <c r="CX754" s="1304"/>
      <c r="CY754" s="1304"/>
      <c r="CZ754" s="1304">
        <f t="shared" si="22"/>
        <v>0</v>
      </c>
      <c r="DA754" s="1304"/>
      <c r="DB754" s="1304"/>
      <c r="DC754" s="1304"/>
      <c r="DD754" s="1304"/>
      <c r="DE754" s="1304">
        <f t="shared" si="23"/>
        <v>0</v>
      </c>
      <c r="DF754" s="1304"/>
      <c r="DG754" s="1304"/>
      <c r="DH754" s="1304"/>
      <c r="DI754" s="1304"/>
      <c r="DJ754" s="1304">
        <f t="shared" si="24"/>
        <v>0</v>
      </c>
      <c r="DK754" s="1304"/>
      <c r="DL754" s="1304"/>
      <c r="DM754" s="1304"/>
      <c r="DN754" s="1304"/>
      <c r="DO754" s="1304">
        <f t="shared" si="25"/>
        <v>0</v>
      </c>
      <c r="DP754" s="1304"/>
      <c r="DQ754" s="1304"/>
      <c r="DR754" s="1304"/>
      <c r="DS754" s="1304"/>
      <c r="DT754" s="6"/>
      <c r="DU754" s="1323">
        <f t="shared" si="26"/>
        <v>0</v>
      </c>
      <c r="DV754" s="1323"/>
      <c r="DW754" s="1323"/>
      <c r="DX754" s="1323"/>
      <c r="DY754" s="1323"/>
      <c r="DZ754" s="1323">
        <f t="shared" si="27"/>
        <v>0</v>
      </c>
      <c r="EA754" s="1323"/>
      <c r="EB754" s="1323"/>
      <c r="EC754" s="1323"/>
      <c r="ED754" s="1323"/>
      <c r="EE754" s="1323">
        <f t="shared" si="28"/>
        <v>0</v>
      </c>
      <c r="EF754" s="1323"/>
      <c r="EG754" s="1323"/>
      <c r="EH754" s="1323"/>
      <c r="EI754" s="1323"/>
      <c r="EJ754" s="1323">
        <f t="shared" si="29"/>
        <v>0</v>
      </c>
      <c r="EK754" s="1323"/>
      <c r="EL754" s="1323"/>
      <c r="EM754" s="1323"/>
      <c r="EN754" s="1323"/>
      <c r="EO754" s="1323">
        <f t="shared" si="30"/>
        <v>0</v>
      </c>
      <c r="EP754" s="1323"/>
      <c r="EQ754" s="1323"/>
      <c r="ER754" s="1323"/>
      <c r="ES754" s="1323"/>
      <c r="ET754" s="1323">
        <f t="shared" si="31"/>
        <v>0</v>
      </c>
      <c r="EU754" s="1323"/>
      <c r="EV754" s="1323"/>
      <c r="EW754" s="1323"/>
      <c r="EX754" s="1323"/>
      <c r="EZ754" s="1301" t="str">
        <f t="shared" si="32"/>
        <v/>
      </c>
      <c r="FA754" s="1302"/>
      <c r="FB754" s="1302"/>
      <c r="FC754" s="1302"/>
      <c r="FD754" s="1303"/>
      <c r="FE754" s="1301" t="str">
        <f t="shared" si="33"/>
        <v/>
      </c>
      <c r="FF754" s="1302"/>
      <c r="FG754" s="1302"/>
      <c r="FH754" s="1302"/>
      <c r="FI754" s="1303"/>
      <c r="FJ754" s="1301" t="str">
        <f t="shared" si="34"/>
        <v/>
      </c>
      <c r="FK754" s="1302"/>
      <c r="FL754" s="1302"/>
      <c r="FM754" s="1302"/>
      <c r="FN754" s="1303"/>
      <c r="FO754" s="1301" t="str">
        <f t="shared" si="35"/>
        <v/>
      </c>
      <c r="FP754" s="1302"/>
      <c r="FQ754" s="1302"/>
      <c r="FR754" s="1302"/>
      <c r="FS754" s="1303"/>
      <c r="FT754" s="1301" t="str">
        <f t="shared" si="36"/>
        <v/>
      </c>
      <c r="FU754" s="1302"/>
      <c r="FV754" s="1302"/>
      <c r="FW754" s="1302"/>
      <c r="FX754" s="1303"/>
      <c r="FY754" s="1301" t="str">
        <f t="shared" si="37"/>
        <v/>
      </c>
      <c r="FZ754" s="1302"/>
      <c r="GA754" s="1302"/>
      <c r="GB754" s="1302"/>
      <c r="GC754" s="1303"/>
    </row>
    <row r="755" spans="1:185" ht="12.95" customHeight="1">
      <c r="B755" s="1305"/>
      <c r="C755" s="1306"/>
      <c r="D755" s="1306"/>
      <c r="E755" s="1306"/>
      <c r="F755" s="1307"/>
      <c r="G755" s="1314"/>
      <c r="H755" s="1315"/>
      <c r="I755" s="1315"/>
      <c r="J755" s="1316"/>
      <c r="K755" s="1524"/>
      <c r="L755" s="1525"/>
      <c r="M755" s="1525"/>
      <c r="N755" s="1526"/>
      <c r="O755" s="1320"/>
      <c r="P755" s="1321"/>
      <c r="Q755" s="1321"/>
      <c r="R755" s="1321"/>
      <c r="S755" s="1322"/>
      <c r="T755" s="1320"/>
      <c r="U755" s="1321"/>
      <c r="V755" s="1321"/>
      <c r="W755" s="1322"/>
      <c r="X755" s="1308">
        <f t="shared" si="41"/>
        <v>0</v>
      </c>
      <c r="Y755" s="1309"/>
      <c r="Z755" s="1309"/>
      <c r="AA755" s="1309"/>
      <c r="AB755" s="1310"/>
      <c r="AC755" s="1317"/>
      <c r="AD755" s="1318"/>
      <c r="AE755" s="1318"/>
      <c r="AF755" s="1318"/>
      <c r="AG755" s="1319"/>
      <c r="AH755" s="1311" t="str">
        <f t="shared" si="38"/>
        <v/>
      </c>
      <c r="AI755" s="1312"/>
      <c r="AJ755" s="1313"/>
      <c r="AK755" s="1305" t="s">
        <v>591</v>
      </c>
      <c r="AL755" s="1306"/>
      <c r="AM755" s="1306"/>
      <c r="AN755" s="1306"/>
      <c r="AO755" s="1307"/>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01">
        <f t="shared" si="39"/>
        <v>0</v>
      </c>
      <c r="CH755" s="1303"/>
      <c r="CI755" s="1285">
        <f t="shared" si="40"/>
        <v>0</v>
      </c>
      <c r="CJ755" s="1287"/>
      <c r="CK755" s="1301">
        <f t="shared" si="18"/>
        <v>0</v>
      </c>
      <c r="CL755" s="1303"/>
      <c r="CM755" s="1285">
        <f t="shared" si="19"/>
        <v>0</v>
      </c>
      <c r="CN755" s="1287"/>
      <c r="CO755" s="3"/>
      <c r="CP755" s="1282">
        <f t="shared" si="20"/>
        <v>0</v>
      </c>
      <c r="CQ755" s="1283"/>
      <c r="CR755" s="1283"/>
      <c r="CS755" s="1283"/>
      <c r="CT755" s="1284"/>
      <c r="CU755" s="1304">
        <f t="shared" si="21"/>
        <v>0</v>
      </c>
      <c r="CV755" s="1304"/>
      <c r="CW755" s="1304"/>
      <c r="CX755" s="1304"/>
      <c r="CY755" s="1304"/>
      <c r="CZ755" s="1304">
        <f t="shared" si="22"/>
        <v>0</v>
      </c>
      <c r="DA755" s="1304"/>
      <c r="DB755" s="1304"/>
      <c r="DC755" s="1304"/>
      <c r="DD755" s="1304"/>
      <c r="DE755" s="1304">
        <f t="shared" si="23"/>
        <v>0</v>
      </c>
      <c r="DF755" s="1304"/>
      <c r="DG755" s="1304"/>
      <c r="DH755" s="1304"/>
      <c r="DI755" s="1304"/>
      <c r="DJ755" s="1304">
        <f t="shared" si="24"/>
        <v>0</v>
      </c>
      <c r="DK755" s="1304"/>
      <c r="DL755" s="1304"/>
      <c r="DM755" s="1304"/>
      <c r="DN755" s="1304"/>
      <c r="DO755" s="1304">
        <f t="shared" si="25"/>
        <v>0</v>
      </c>
      <c r="DP755" s="1304"/>
      <c r="DQ755" s="1304"/>
      <c r="DR755" s="1304"/>
      <c r="DS755" s="1304"/>
      <c r="DT755" s="6"/>
      <c r="DU755" s="1323">
        <f t="shared" si="26"/>
        <v>0</v>
      </c>
      <c r="DV755" s="1323"/>
      <c r="DW755" s="1323"/>
      <c r="DX755" s="1323"/>
      <c r="DY755" s="1323"/>
      <c r="DZ755" s="1323">
        <f t="shared" si="27"/>
        <v>0</v>
      </c>
      <c r="EA755" s="1323"/>
      <c r="EB755" s="1323"/>
      <c r="EC755" s="1323"/>
      <c r="ED755" s="1323"/>
      <c r="EE755" s="1323">
        <f t="shared" si="28"/>
        <v>0</v>
      </c>
      <c r="EF755" s="1323"/>
      <c r="EG755" s="1323"/>
      <c r="EH755" s="1323"/>
      <c r="EI755" s="1323"/>
      <c r="EJ755" s="1323">
        <f t="shared" si="29"/>
        <v>0</v>
      </c>
      <c r="EK755" s="1323"/>
      <c r="EL755" s="1323"/>
      <c r="EM755" s="1323"/>
      <c r="EN755" s="1323"/>
      <c r="EO755" s="1323">
        <f t="shared" si="30"/>
        <v>0</v>
      </c>
      <c r="EP755" s="1323"/>
      <c r="EQ755" s="1323"/>
      <c r="ER755" s="1323"/>
      <c r="ES755" s="1323"/>
      <c r="ET755" s="1323">
        <f t="shared" si="31"/>
        <v>0</v>
      </c>
      <c r="EU755" s="1323"/>
      <c r="EV755" s="1323"/>
      <c r="EW755" s="1323"/>
      <c r="EX755" s="1323"/>
      <c r="EZ755" s="1301" t="str">
        <f t="shared" si="32"/>
        <v/>
      </c>
      <c r="FA755" s="1302"/>
      <c r="FB755" s="1302"/>
      <c r="FC755" s="1302"/>
      <c r="FD755" s="1303"/>
      <c r="FE755" s="1301" t="str">
        <f t="shared" si="33"/>
        <v/>
      </c>
      <c r="FF755" s="1302"/>
      <c r="FG755" s="1302"/>
      <c r="FH755" s="1302"/>
      <c r="FI755" s="1303"/>
      <c r="FJ755" s="1301" t="str">
        <f t="shared" si="34"/>
        <v/>
      </c>
      <c r="FK755" s="1302"/>
      <c r="FL755" s="1302"/>
      <c r="FM755" s="1302"/>
      <c r="FN755" s="1303"/>
      <c r="FO755" s="1301" t="str">
        <f t="shared" si="35"/>
        <v/>
      </c>
      <c r="FP755" s="1302"/>
      <c r="FQ755" s="1302"/>
      <c r="FR755" s="1302"/>
      <c r="FS755" s="1303"/>
      <c r="FT755" s="1301" t="str">
        <f t="shared" si="36"/>
        <v/>
      </c>
      <c r="FU755" s="1302"/>
      <c r="FV755" s="1302"/>
      <c r="FW755" s="1302"/>
      <c r="FX755" s="1303"/>
      <c r="FY755" s="1301" t="str">
        <f t="shared" si="37"/>
        <v/>
      </c>
      <c r="FZ755" s="1302"/>
      <c r="GA755" s="1302"/>
      <c r="GB755" s="1302"/>
      <c r="GC755" s="1303"/>
    </row>
    <row r="756" spans="1:185" s="3" customFormat="1" ht="12.95" customHeight="1">
      <c r="A756"/>
      <c r="B756" s="1305"/>
      <c r="C756" s="1306"/>
      <c r="D756" s="1306"/>
      <c r="E756" s="1306"/>
      <c r="F756" s="1307"/>
      <c r="G756" s="1314"/>
      <c r="H756" s="1315"/>
      <c r="I756" s="1315"/>
      <c r="J756" s="1316"/>
      <c r="K756" s="1524"/>
      <c r="L756" s="1525"/>
      <c r="M756" s="1525"/>
      <c r="N756" s="1526"/>
      <c r="O756" s="1320"/>
      <c r="P756" s="1321"/>
      <c r="Q756" s="1321"/>
      <c r="R756" s="1321"/>
      <c r="S756" s="1322"/>
      <c r="T756" s="1320"/>
      <c r="U756" s="1321"/>
      <c r="V756" s="1321"/>
      <c r="W756" s="1322"/>
      <c r="X756" s="1308">
        <f t="shared" si="41"/>
        <v>0</v>
      </c>
      <c r="Y756" s="1309"/>
      <c r="Z756" s="1309"/>
      <c r="AA756" s="1309"/>
      <c r="AB756" s="1310"/>
      <c r="AC756" s="1317"/>
      <c r="AD756" s="1318"/>
      <c r="AE756" s="1318"/>
      <c r="AF756" s="1318"/>
      <c r="AG756" s="1319"/>
      <c r="AH756" s="1311" t="str">
        <f t="shared" si="38"/>
        <v/>
      </c>
      <c r="AI756" s="1312"/>
      <c r="AJ756" s="1313"/>
      <c r="AK756" s="1305" t="s">
        <v>591</v>
      </c>
      <c r="AL756" s="1306"/>
      <c r="AM756" s="1306"/>
      <c r="AN756" s="1306"/>
      <c r="AO756" s="1307"/>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01">
        <f t="shared" si="39"/>
        <v>0</v>
      </c>
      <c r="CH756" s="1303"/>
      <c r="CI756" s="1285">
        <f t="shared" si="40"/>
        <v>0</v>
      </c>
      <c r="CJ756" s="1287"/>
      <c r="CK756" s="1301">
        <f t="shared" si="18"/>
        <v>0</v>
      </c>
      <c r="CL756" s="1303"/>
      <c r="CM756" s="1285">
        <f t="shared" si="19"/>
        <v>0</v>
      </c>
      <c r="CN756" s="1287"/>
      <c r="CP756" s="1282">
        <f t="shared" si="20"/>
        <v>0</v>
      </c>
      <c r="CQ756" s="1283"/>
      <c r="CR756" s="1283"/>
      <c r="CS756" s="1283"/>
      <c r="CT756" s="1284"/>
      <c r="CU756" s="1304">
        <f t="shared" si="21"/>
        <v>0</v>
      </c>
      <c r="CV756" s="1304"/>
      <c r="CW756" s="1304"/>
      <c r="CX756" s="1304"/>
      <c r="CY756" s="1304"/>
      <c r="CZ756" s="1304">
        <f t="shared" si="22"/>
        <v>0</v>
      </c>
      <c r="DA756" s="1304"/>
      <c r="DB756" s="1304"/>
      <c r="DC756" s="1304"/>
      <c r="DD756" s="1304"/>
      <c r="DE756" s="1304">
        <f t="shared" si="23"/>
        <v>0</v>
      </c>
      <c r="DF756" s="1304"/>
      <c r="DG756" s="1304"/>
      <c r="DH756" s="1304"/>
      <c r="DI756" s="1304"/>
      <c r="DJ756" s="1304">
        <f t="shared" si="24"/>
        <v>0</v>
      </c>
      <c r="DK756" s="1304"/>
      <c r="DL756" s="1304"/>
      <c r="DM756" s="1304"/>
      <c r="DN756" s="1304"/>
      <c r="DO756" s="1304">
        <f t="shared" si="25"/>
        <v>0</v>
      </c>
      <c r="DP756" s="1304"/>
      <c r="DQ756" s="1304"/>
      <c r="DR756" s="1304"/>
      <c r="DS756" s="1304"/>
      <c r="DT756" s="6"/>
      <c r="DU756" s="1323">
        <f t="shared" si="26"/>
        <v>0</v>
      </c>
      <c r="DV756" s="1323"/>
      <c r="DW756" s="1323"/>
      <c r="DX756" s="1323"/>
      <c r="DY756" s="1323"/>
      <c r="DZ756" s="1323">
        <f t="shared" si="27"/>
        <v>0</v>
      </c>
      <c r="EA756" s="1323"/>
      <c r="EB756" s="1323"/>
      <c r="EC756" s="1323"/>
      <c r="ED756" s="1323"/>
      <c r="EE756" s="1323">
        <f t="shared" si="28"/>
        <v>0</v>
      </c>
      <c r="EF756" s="1323"/>
      <c r="EG756" s="1323"/>
      <c r="EH756" s="1323"/>
      <c r="EI756" s="1323"/>
      <c r="EJ756" s="1323">
        <f t="shared" si="29"/>
        <v>0</v>
      </c>
      <c r="EK756" s="1323"/>
      <c r="EL756" s="1323"/>
      <c r="EM756" s="1323"/>
      <c r="EN756" s="1323"/>
      <c r="EO756" s="1323">
        <f t="shared" si="30"/>
        <v>0</v>
      </c>
      <c r="EP756" s="1323"/>
      <c r="EQ756" s="1323"/>
      <c r="ER756" s="1323"/>
      <c r="ES756" s="1323"/>
      <c r="ET756" s="1323">
        <f t="shared" si="31"/>
        <v>0</v>
      </c>
      <c r="EU756" s="1323"/>
      <c r="EV756" s="1323"/>
      <c r="EW756" s="1323"/>
      <c r="EX756" s="1323"/>
      <c r="EY756"/>
      <c r="EZ756" s="1301" t="str">
        <f t="shared" si="32"/>
        <v/>
      </c>
      <c r="FA756" s="1302"/>
      <c r="FB756" s="1302"/>
      <c r="FC756" s="1302"/>
      <c r="FD756" s="1303"/>
      <c r="FE756" s="1301" t="str">
        <f t="shared" si="33"/>
        <v/>
      </c>
      <c r="FF756" s="1302"/>
      <c r="FG756" s="1302"/>
      <c r="FH756" s="1302"/>
      <c r="FI756" s="1303"/>
      <c r="FJ756" s="1301" t="str">
        <f t="shared" si="34"/>
        <v/>
      </c>
      <c r="FK756" s="1302"/>
      <c r="FL756" s="1302"/>
      <c r="FM756" s="1302"/>
      <c r="FN756" s="1303"/>
      <c r="FO756" s="1301" t="str">
        <f t="shared" si="35"/>
        <v/>
      </c>
      <c r="FP756" s="1302"/>
      <c r="FQ756" s="1302"/>
      <c r="FR756" s="1302"/>
      <c r="FS756" s="1303"/>
      <c r="FT756" s="1301" t="str">
        <f t="shared" si="36"/>
        <v/>
      </c>
      <c r="FU756" s="1302"/>
      <c r="FV756" s="1302"/>
      <c r="FW756" s="1302"/>
      <c r="FX756" s="1303"/>
      <c r="FY756" s="1301" t="str">
        <f t="shared" si="37"/>
        <v/>
      </c>
      <c r="FZ756" s="1302"/>
      <c r="GA756" s="1302"/>
      <c r="GB756" s="1302"/>
      <c r="GC756" s="1303"/>
    </row>
    <row r="757" spans="1:185" s="3" customFormat="1" ht="12.95" customHeight="1">
      <c r="A757"/>
      <c r="B757" s="1305"/>
      <c r="C757" s="1306"/>
      <c r="D757" s="1306"/>
      <c r="E757" s="1306"/>
      <c r="F757" s="1307"/>
      <c r="G757" s="1314"/>
      <c r="H757" s="1315"/>
      <c r="I757" s="1315"/>
      <c r="J757" s="1316"/>
      <c r="K757" s="1524"/>
      <c r="L757" s="1525"/>
      <c r="M757" s="1525"/>
      <c r="N757" s="1526"/>
      <c r="O757" s="1320"/>
      <c r="P757" s="1321"/>
      <c r="Q757" s="1321"/>
      <c r="R757" s="1321"/>
      <c r="S757" s="1322"/>
      <c r="T757" s="1320"/>
      <c r="U757" s="1321"/>
      <c r="V757" s="1321"/>
      <c r="W757" s="1322"/>
      <c r="X757" s="1308">
        <f t="shared" si="41"/>
        <v>0</v>
      </c>
      <c r="Y757" s="1309"/>
      <c r="Z757" s="1309"/>
      <c r="AA757" s="1309"/>
      <c r="AB757" s="1310"/>
      <c r="AC757" s="1317"/>
      <c r="AD757" s="1318"/>
      <c r="AE757" s="1318"/>
      <c r="AF757" s="1318"/>
      <c r="AG757" s="1319"/>
      <c r="AH757" s="1311" t="str">
        <f t="shared" si="38"/>
        <v/>
      </c>
      <c r="AI757" s="1312"/>
      <c r="AJ757" s="1313"/>
      <c r="AK757" s="1305" t="s">
        <v>591</v>
      </c>
      <c r="AL757" s="1306"/>
      <c r="AM757" s="1306"/>
      <c r="AN757" s="1306"/>
      <c r="AO757" s="1307"/>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01">
        <f t="shared" si="39"/>
        <v>0</v>
      </c>
      <c r="CH757" s="1303"/>
      <c r="CI757" s="1285">
        <f t="shared" si="40"/>
        <v>0</v>
      </c>
      <c r="CJ757" s="1287"/>
      <c r="CK757" s="1301">
        <f t="shared" si="18"/>
        <v>0</v>
      </c>
      <c r="CL757" s="1303"/>
      <c r="CM757" s="1285">
        <f t="shared" si="19"/>
        <v>0</v>
      </c>
      <c r="CN757" s="1287"/>
      <c r="CP757" s="1282">
        <f t="shared" si="20"/>
        <v>0</v>
      </c>
      <c r="CQ757" s="1283"/>
      <c r="CR757" s="1283"/>
      <c r="CS757" s="1283"/>
      <c r="CT757" s="1284"/>
      <c r="CU757" s="1304">
        <f t="shared" si="21"/>
        <v>0</v>
      </c>
      <c r="CV757" s="1304"/>
      <c r="CW757" s="1304"/>
      <c r="CX757" s="1304"/>
      <c r="CY757" s="1304"/>
      <c r="CZ757" s="1304">
        <f t="shared" si="22"/>
        <v>0</v>
      </c>
      <c r="DA757" s="1304"/>
      <c r="DB757" s="1304"/>
      <c r="DC757" s="1304"/>
      <c r="DD757" s="1304"/>
      <c r="DE757" s="1304">
        <f t="shared" si="23"/>
        <v>0</v>
      </c>
      <c r="DF757" s="1304"/>
      <c r="DG757" s="1304"/>
      <c r="DH757" s="1304"/>
      <c r="DI757" s="1304"/>
      <c r="DJ757" s="1304">
        <f t="shared" si="24"/>
        <v>0</v>
      </c>
      <c r="DK757" s="1304"/>
      <c r="DL757" s="1304"/>
      <c r="DM757" s="1304"/>
      <c r="DN757" s="1304"/>
      <c r="DO757" s="1304">
        <f t="shared" si="25"/>
        <v>0</v>
      </c>
      <c r="DP757" s="1304"/>
      <c r="DQ757" s="1304"/>
      <c r="DR757" s="1304"/>
      <c r="DS757" s="1304"/>
      <c r="DT757" s="6"/>
      <c r="DU757" s="1323">
        <f t="shared" si="26"/>
        <v>0</v>
      </c>
      <c r="DV757" s="1323"/>
      <c r="DW757" s="1323"/>
      <c r="DX757" s="1323"/>
      <c r="DY757" s="1323"/>
      <c r="DZ757" s="1323">
        <f t="shared" si="27"/>
        <v>0</v>
      </c>
      <c r="EA757" s="1323"/>
      <c r="EB757" s="1323"/>
      <c r="EC757" s="1323"/>
      <c r="ED757" s="1323"/>
      <c r="EE757" s="1323">
        <f t="shared" si="28"/>
        <v>0</v>
      </c>
      <c r="EF757" s="1323"/>
      <c r="EG757" s="1323"/>
      <c r="EH757" s="1323"/>
      <c r="EI757" s="1323"/>
      <c r="EJ757" s="1323">
        <f t="shared" si="29"/>
        <v>0</v>
      </c>
      <c r="EK757" s="1323"/>
      <c r="EL757" s="1323"/>
      <c r="EM757" s="1323"/>
      <c r="EN757" s="1323"/>
      <c r="EO757" s="1323">
        <f t="shared" si="30"/>
        <v>0</v>
      </c>
      <c r="EP757" s="1323"/>
      <c r="EQ757" s="1323"/>
      <c r="ER757" s="1323"/>
      <c r="ES757" s="1323"/>
      <c r="ET757" s="1323">
        <f t="shared" si="31"/>
        <v>0</v>
      </c>
      <c r="EU757" s="1323"/>
      <c r="EV757" s="1323"/>
      <c r="EW757" s="1323"/>
      <c r="EX757" s="1323"/>
      <c r="EY757"/>
      <c r="EZ757" s="1301" t="str">
        <f t="shared" si="32"/>
        <v/>
      </c>
      <c r="FA757" s="1302"/>
      <c r="FB757" s="1302"/>
      <c r="FC757" s="1302"/>
      <c r="FD757" s="1303"/>
      <c r="FE757" s="1301" t="str">
        <f t="shared" si="33"/>
        <v/>
      </c>
      <c r="FF757" s="1302"/>
      <c r="FG757" s="1302"/>
      <c r="FH757" s="1302"/>
      <c r="FI757" s="1303"/>
      <c r="FJ757" s="1301" t="str">
        <f t="shared" si="34"/>
        <v/>
      </c>
      <c r="FK757" s="1302"/>
      <c r="FL757" s="1302"/>
      <c r="FM757" s="1302"/>
      <c r="FN757" s="1303"/>
      <c r="FO757" s="1301" t="str">
        <f t="shared" si="35"/>
        <v/>
      </c>
      <c r="FP757" s="1302"/>
      <c r="FQ757" s="1302"/>
      <c r="FR757" s="1302"/>
      <c r="FS757" s="1303"/>
      <c r="FT757" s="1301" t="str">
        <f t="shared" si="36"/>
        <v/>
      </c>
      <c r="FU757" s="1302"/>
      <c r="FV757" s="1302"/>
      <c r="FW757" s="1302"/>
      <c r="FX757" s="1303"/>
      <c r="FY757" s="1301" t="str">
        <f t="shared" si="37"/>
        <v/>
      </c>
      <c r="FZ757" s="1302"/>
      <c r="GA757" s="1302"/>
      <c r="GB757" s="1302"/>
      <c r="GC757" s="1303"/>
    </row>
    <row r="758" spans="1:185" s="3" customFormat="1" ht="12.95" customHeight="1">
      <c r="A758"/>
      <c r="B758" s="1305"/>
      <c r="C758" s="1306"/>
      <c r="D758" s="1306"/>
      <c r="E758" s="1306"/>
      <c r="F758" s="1307"/>
      <c r="G758" s="1314"/>
      <c r="H758" s="1315"/>
      <c r="I758" s="1315"/>
      <c r="J758" s="1316"/>
      <c r="K758" s="1524"/>
      <c r="L758" s="1525"/>
      <c r="M758" s="1525"/>
      <c r="N758" s="1526"/>
      <c r="O758" s="1320"/>
      <c r="P758" s="1321"/>
      <c r="Q758" s="1321"/>
      <c r="R758" s="1321"/>
      <c r="S758" s="1322"/>
      <c r="T758" s="1320"/>
      <c r="U758" s="1321"/>
      <c r="V758" s="1321"/>
      <c r="W758" s="1322"/>
      <c r="X758" s="1308">
        <f t="shared" si="41"/>
        <v>0</v>
      </c>
      <c r="Y758" s="1309"/>
      <c r="Z758" s="1309"/>
      <c r="AA758" s="1309"/>
      <c r="AB758" s="1310"/>
      <c r="AC758" s="1317"/>
      <c r="AD758" s="1318"/>
      <c r="AE758" s="1318"/>
      <c r="AF758" s="1318"/>
      <c r="AG758" s="1319"/>
      <c r="AH758" s="1311" t="str">
        <f t="shared" si="38"/>
        <v/>
      </c>
      <c r="AI758" s="1312"/>
      <c r="AJ758" s="1313"/>
      <c r="AK758" s="1305" t="s">
        <v>591</v>
      </c>
      <c r="AL758" s="1306"/>
      <c r="AM758" s="1306"/>
      <c r="AN758" s="1306"/>
      <c r="AO758" s="1307"/>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01">
        <f t="shared" si="39"/>
        <v>0</v>
      </c>
      <c r="CH758" s="1303"/>
      <c r="CI758" s="1285">
        <f t="shared" si="40"/>
        <v>0</v>
      </c>
      <c r="CJ758" s="1287"/>
      <c r="CK758" s="1301">
        <f t="shared" si="18"/>
        <v>0</v>
      </c>
      <c r="CL758" s="1303"/>
      <c r="CM758" s="1285">
        <f t="shared" si="19"/>
        <v>0</v>
      </c>
      <c r="CN758" s="1287"/>
      <c r="CP758" s="1282">
        <f t="shared" si="20"/>
        <v>0</v>
      </c>
      <c r="CQ758" s="1283"/>
      <c r="CR758" s="1283"/>
      <c r="CS758" s="1283"/>
      <c r="CT758" s="1284"/>
      <c r="CU758" s="1304">
        <f t="shared" si="21"/>
        <v>0</v>
      </c>
      <c r="CV758" s="1304"/>
      <c r="CW758" s="1304"/>
      <c r="CX758" s="1304"/>
      <c r="CY758" s="1304"/>
      <c r="CZ758" s="1304">
        <f t="shared" si="22"/>
        <v>0</v>
      </c>
      <c r="DA758" s="1304"/>
      <c r="DB758" s="1304"/>
      <c r="DC758" s="1304"/>
      <c r="DD758" s="1304"/>
      <c r="DE758" s="1304">
        <f t="shared" si="23"/>
        <v>0</v>
      </c>
      <c r="DF758" s="1304"/>
      <c r="DG758" s="1304"/>
      <c r="DH758" s="1304"/>
      <c r="DI758" s="1304"/>
      <c r="DJ758" s="1304">
        <f t="shared" si="24"/>
        <v>0</v>
      </c>
      <c r="DK758" s="1304"/>
      <c r="DL758" s="1304"/>
      <c r="DM758" s="1304"/>
      <c r="DN758" s="1304"/>
      <c r="DO758" s="1304">
        <f t="shared" si="25"/>
        <v>0</v>
      </c>
      <c r="DP758" s="1304"/>
      <c r="DQ758" s="1304"/>
      <c r="DR758" s="1304"/>
      <c r="DS758" s="1304"/>
      <c r="DT758" s="6"/>
      <c r="DU758" s="1323">
        <f t="shared" si="26"/>
        <v>0</v>
      </c>
      <c r="DV758" s="1323"/>
      <c r="DW758" s="1323"/>
      <c r="DX758" s="1323"/>
      <c r="DY758" s="1323"/>
      <c r="DZ758" s="1323">
        <f t="shared" si="27"/>
        <v>0</v>
      </c>
      <c r="EA758" s="1323"/>
      <c r="EB758" s="1323"/>
      <c r="EC758" s="1323"/>
      <c r="ED758" s="1323"/>
      <c r="EE758" s="1323">
        <f t="shared" si="28"/>
        <v>0</v>
      </c>
      <c r="EF758" s="1323"/>
      <c r="EG758" s="1323"/>
      <c r="EH758" s="1323"/>
      <c r="EI758" s="1323"/>
      <c r="EJ758" s="1323">
        <f t="shared" si="29"/>
        <v>0</v>
      </c>
      <c r="EK758" s="1323"/>
      <c r="EL758" s="1323"/>
      <c r="EM758" s="1323"/>
      <c r="EN758" s="1323"/>
      <c r="EO758" s="1323">
        <f t="shared" si="30"/>
        <v>0</v>
      </c>
      <c r="EP758" s="1323"/>
      <c r="EQ758" s="1323"/>
      <c r="ER758" s="1323"/>
      <c r="ES758" s="1323"/>
      <c r="ET758" s="1323">
        <f t="shared" si="31"/>
        <v>0</v>
      </c>
      <c r="EU758" s="1323"/>
      <c r="EV758" s="1323"/>
      <c r="EW758" s="1323"/>
      <c r="EX758" s="1323"/>
      <c r="EY758"/>
      <c r="EZ758" s="1301" t="str">
        <f t="shared" si="32"/>
        <v/>
      </c>
      <c r="FA758" s="1302"/>
      <c r="FB758" s="1302"/>
      <c r="FC758" s="1302"/>
      <c r="FD758" s="1303"/>
      <c r="FE758" s="1301" t="str">
        <f t="shared" si="33"/>
        <v/>
      </c>
      <c r="FF758" s="1302"/>
      <c r="FG758" s="1302"/>
      <c r="FH758" s="1302"/>
      <c r="FI758" s="1303"/>
      <c r="FJ758" s="1301" t="str">
        <f t="shared" si="34"/>
        <v/>
      </c>
      <c r="FK758" s="1302"/>
      <c r="FL758" s="1302"/>
      <c r="FM758" s="1302"/>
      <c r="FN758" s="1303"/>
      <c r="FO758" s="1301" t="str">
        <f t="shared" si="35"/>
        <v/>
      </c>
      <c r="FP758" s="1302"/>
      <c r="FQ758" s="1302"/>
      <c r="FR758" s="1302"/>
      <c r="FS758" s="1303"/>
      <c r="FT758" s="1301" t="str">
        <f t="shared" si="36"/>
        <v/>
      </c>
      <c r="FU758" s="1302"/>
      <c r="FV758" s="1302"/>
      <c r="FW758" s="1302"/>
      <c r="FX758" s="1303"/>
      <c r="FY758" s="1301" t="str">
        <f t="shared" si="37"/>
        <v/>
      </c>
      <c r="FZ758" s="1302"/>
      <c r="GA758" s="1302"/>
      <c r="GB758" s="1302"/>
      <c r="GC758" s="1303"/>
    </row>
    <row r="759" spans="1:185" s="3" customFormat="1" ht="12.95" customHeight="1">
      <c r="A759"/>
      <c r="B759" s="1305"/>
      <c r="C759" s="1306"/>
      <c r="D759" s="1306"/>
      <c r="E759" s="1306"/>
      <c r="F759" s="1307"/>
      <c r="G759" s="1314"/>
      <c r="H759" s="1315"/>
      <c r="I759" s="1315"/>
      <c r="J759" s="1316"/>
      <c r="K759" s="1524"/>
      <c r="L759" s="1525"/>
      <c r="M759" s="1525"/>
      <c r="N759" s="1526"/>
      <c r="O759" s="1320"/>
      <c r="P759" s="1321"/>
      <c r="Q759" s="1321"/>
      <c r="R759" s="1321"/>
      <c r="S759" s="1322"/>
      <c r="T759" s="1320"/>
      <c r="U759" s="1321"/>
      <c r="V759" s="1321"/>
      <c r="W759" s="1322"/>
      <c r="X759" s="1308">
        <f t="shared" si="41"/>
        <v>0</v>
      </c>
      <c r="Y759" s="1309"/>
      <c r="Z759" s="1309"/>
      <c r="AA759" s="1309"/>
      <c r="AB759" s="1310"/>
      <c r="AC759" s="1317"/>
      <c r="AD759" s="1318"/>
      <c r="AE759" s="1318"/>
      <c r="AF759" s="1318"/>
      <c r="AG759" s="1319"/>
      <c r="AH759" s="1311" t="str">
        <f t="shared" si="38"/>
        <v/>
      </c>
      <c r="AI759" s="1312"/>
      <c r="AJ759" s="1313"/>
      <c r="AK759" s="1305" t="s">
        <v>591</v>
      </c>
      <c r="AL759" s="1306"/>
      <c r="AM759" s="1306"/>
      <c r="AN759" s="1306"/>
      <c r="AO759" s="1307"/>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01">
        <f t="shared" si="39"/>
        <v>0</v>
      </c>
      <c r="CH759" s="1303"/>
      <c r="CI759" s="1285">
        <f t="shared" si="40"/>
        <v>0</v>
      </c>
      <c r="CJ759" s="1287"/>
      <c r="CK759" s="1301">
        <f t="shared" si="18"/>
        <v>0</v>
      </c>
      <c r="CL759" s="1303"/>
      <c r="CM759" s="1285">
        <f t="shared" si="19"/>
        <v>0</v>
      </c>
      <c r="CN759" s="1287"/>
      <c r="CP759" s="1282">
        <f t="shared" si="20"/>
        <v>0</v>
      </c>
      <c r="CQ759" s="1283"/>
      <c r="CR759" s="1283"/>
      <c r="CS759" s="1283"/>
      <c r="CT759" s="1284"/>
      <c r="CU759" s="1304">
        <f t="shared" si="21"/>
        <v>0</v>
      </c>
      <c r="CV759" s="1304"/>
      <c r="CW759" s="1304"/>
      <c r="CX759" s="1304"/>
      <c r="CY759" s="1304"/>
      <c r="CZ759" s="1304">
        <f t="shared" si="22"/>
        <v>0</v>
      </c>
      <c r="DA759" s="1304"/>
      <c r="DB759" s="1304"/>
      <c r="DC759" s="1304"/>
      <c r="DD759" s="1304"/>
      <c r="DE759" s="1304">
        <f t="shared" si="23"/>
        <v>0</v>
      </c>
      <c r="DF759" s="1304"/>
      <c r="DG759" s="1304"/>
      <c r="DH759" s="1304"/>
      <c r="DI759" s="1304"/>
      <c r="DJ759" s="1304">
        <f t="shared" si="24"/>
        <v>0</v>
      </c>
      <c r="DK759" s="1304"/>
      <c r="DL759" s="1304"/>
      <c r="DM759" s="1304"/>
      <c r="DN759" s="1304"/>
      <c r="DO759" s="1304">
        <f t="shared" si="25"/>
        <v>0</v>
      </c>
      <c r="DP759" s="1304"/>
      <c r="DQ759" s="1304"/>
      <c r="DR759" s="1304"/>
      <c r="DS759" s="1304"/>
      <c r="DT759" s="6"/>
      <c r="DU759" s="1323">
        <f t="shared" si="26"/>
        <v>0</v>
      </c>
      <c r="DV759" s="1323"/>
      <c r="DW759" s="1323"/>
      <c r="DX759" s="1323"/>
      <c r="DY759" s="1323"/>
      <c r="DZ759" s="1323">
        <f t="shared" si="27"/>
        <v>0</v>
      </c>
      <c r="EA759" s="1323"/>
      <c r="EB759" s="1323"/>
      <c r="EC759" s="1323"/>
      <c r="ED759" s="1323"/>
      <c r="EE759" s="1323">
        <f t="shared" si="28"/>
        <v>0</v>
      </c>
      <c r="EF759" s="1323"/>
      <c r="EG759" s="1323"/>
      <c r="EH759" s="1323"/>
      <c r="EI759" s="1323"/>
      <c r="EJ759" s="1323">
        <f t="shared" si="29"/>
        <v>0</v>
      </c>
      <c r="EK759" s="1323"/>
      <c r="EL759" s="1323"/>
      <c r="EM759" s="1323"/>
      <c r="EN759" s="1323"/>
      <c r="EO759" s="1323">
        <f t="shared" si="30"/>
        <v>0</v>
      </c>
      <c r="EP759" s="1323"/>
      <c r="EQ759" s="1323"/>
      <c r="ER759" s="1323"/>
      <c r="ES759" s="1323"/>
      <c r="ET759" s="1323">
        <f t="shared" si="31"/>
        <v>0</v>
      </c>
      <c r="EU759" s="1323"/>
      <c r="EV759" s="1323"/>
      <c r="EW759" s="1323"/>
      <c r="EX759" s="1323"/>
      <c r="EY759"/>
      <c r="EZ759" s="1301" t="str">
        <f t="shared" si="32"/>
        <v/>
      </c>
      <c r="FA759" s="1302"/>
      <c r="FB759" s="1302"/>
      <c r="FC759" s="1302"/>
      <c r="FD759" s="1303"/>
      <c r="FE759" s="1301" t="str">
        <f t="shared" si="33"/>
        <v/>
      </c>
      <c r="FF759" s="1302"/>
      <c r="FG759" s="1302"/>
      <c r="FH759" s="1302"/>
      <c r="FI759" s="1303"/>
      <c r="FJ759" s="1301" t="str">
        <f t="shared" si="34"/>
        <v/>
      </c>
      <c r="FK759" s="1302"/>
      <c r="FL759" s="1302"/>
      <c r="FM759" s="1302"/>
      <c r="FN759" s="1303"/>
      <c r="FO759" s="1301" t="str">
        <f t="shared" si="35"/>
        <v/>
      </c>
      <c r="FP759" s="1302"/>
      <c r="FQ759" s="1302"/>
      <c r="FR759" s="1302"/>
      <c r="FS759" s="1303"/>
      <c r="FT759" s="1301" t="str">
        <f t="shared" si="36"/>
        <v/>
      </c>
      <c r="FU759" s="1302"/>
      <c r="FV759" s="1302"/>
      <c r="FW759" s="1302"/>
      <c r="FX759" s="1303"/>
      <c r="FY759" s="1301" t="str">
        <f t="shared" si="37"/>
        <v/>
      </c>
      <c r="FZ759" s="1302"/>
      <c r="GA759" s="1302"/>
      <c r="GB759" s="1302"/>
      <c r="GC759" s="1303"/>
    </row>
    <row r="760" spans="1:185" s="3" customFormat="1" ht="12.95" customHeight="1">
      <c r="A760"/>
      <c r="B760" s="1305"/>
      <c r="C760" s="1306"/>
      <c r="D760" s="1306"/>
      <c r="E760" s="1306"/>
      <c r="F760" s="1307"/>
      <c r="G760" s="1314"/>
      <c r="H760" s="1315"/>
      <c r="I760" s="1315"/>
      <c r="J760" s="1316"/>
      <c r="K760" s="1524"/>
      <c r="L760" s="1525"/>
      <c r="M760" s="1525"/>
      <c r="N760" s="1526"/>
      <c r="O760" s="1320"/>
      <c r="P760" s="1321"/>
      <c r="Q760" s="1321"/>
      <c r="R760" s="1321"/>
      <c r="S760" s="1322"/>
      <c r="T760" s="1320"/>
      <c r="U760" s="1321"/>
      <c r="V760" s="1321"/>
      <c r="W760" s="1322"/>
      <c r="X760" s="1308">
        <f>O760+T760</f>
        <v>0</v>
      </c>
      <c r="Y760" s="1309"/>
      <c r="Z760" s="1309"/>
      <c r="AA760" s="1309"/>
      <c r="AB760" s="1310"/>
      <c r="AC760" s="1317"/>
      <c r="AD760" s="1318"/>
      <c r="AE760" s="1318"/>
      <c r="AF760" s="1318"/>
      <c r="AG760" s="1319"/>
      <c r="AH760" s="1311" t="str">
        <f t="shared" si="38"/>
        <v/>
      </c>
      <c r="AI760" s="1312"/>
      <c r="AJ760" s="1313"/>
      <c r="AK760" s="1305" t="s">
        <v>591</v>
      </c>
      <c r="AL760" s="1306"/>
      <c r="AM760" s="1306"/>
      <c r="AN760" s="1306"/>
      <c r="AO760" s="1307"/>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01">
        <f t="shared" si="39"/>
        <v>0</v>
      </c>
      <c r="CH760" s="1303"/>
      <c r="CI760" s="1285">
        <f t="shared" si="40"/>
        <v>0</v>
      </c>
      <c r="CJ760" s="1287"/>
      <c r="CK760" s="1301">
        <f t="shared" si="18"/>
        <v>0</v>
      </c>
      <c r="CL760" s="1303"/>
      <c r="CM760" s="1285">
        <f t="shared" si="19"/>
        <v>0</v>
      </c>
      <c r="CN760" s="1287"/>
      <c r="CP760" s="1282">
        <f t="shared" si="20"/>
        <v>0</v>
      </c>
      <c r="CQ760" s="1283"/>
      <c r="CR760" s="1283"/>
      <c r="CS760" s="1283"/>
      <c r="CT760" s="1284"/>
      <c r="CU760" s="1304">
        <f t="shared" si="21"/>
        <v>0</v>
      </c>
      <c r="CV760" s="1304"/>
      <c r="CW760" s="1304"/>
      <c r="CX760" s="1304"/>
      <c r="CY760" s="1304"/>
      <c r="CZ760" s="1304">
        <f t="shared" si="22"/>
        <v>0</v>
      </c>
      <c r="DA760" s="1304"/>
      <c r="DB760" s="1304"/>
      <c r="DC760" s="1304"/>
      <c r="DD760" s="1304"/>
      <c r="DE760" s="1304">
        <f t="shared" si="23"/>
        <v>0</v>
      </c>
      <c r="DF760" s="1304"/>
      <c r="DG760" s="1304"/>
      <c r="DH760" s="1304"/>
      <c r="DI760" s="1304"/>
      <c r="DJ760" s="1304">
        <f t="shared" si="24"/>
        <v>0</v>
      </c>
      <c r="DK760" s="1304"/>
      <c r="DL760" s="1304"/>
      <c r="DM760" s="1304"/>
      <c r="DN760" s="1304"/>
      <c r="DO760" s="1304">
        <f t="shared" si="25"/>
        <v>0</v>
      </c>
      <c r="DP760" s="1304"/>
      <c r="DQ760" s="1304"/>
      <c r="DR760" s="1304"/>
      <c r="DS760" s="1304"/>
      <c r="DT760" s="6"/>
      <c r="DU760" s="1323">
        <f t="shared" si="26"/>
        <v>0</v>
      </c>
      <c r="DV760" s="1323"/>
      <c r="DW760" s="1323"/>
      <c r="DX760" s="1323"/>
      <c r="DY760" s="1323"/>
      <c r="DZ760" s="1323">
        <f t="shared" si="27"/>
        <v>0</v>
      </c>
      <c r="EA760" s="1323"/>
      <c r="EB760" s="1323"/>
      <c r="EC760" s="1323"/>
      <c r="ED760" s="1323"/>
      <c r="EE760" s="1323">
        <f t="shared" si="28"/>
        <v>0</v>
      </c>
      <c r="EF760" s="1323"/>
      <c r="EG760" s="1323"/>
      <c r="EH760" s="1323"/>
      <c r="EI760" s="1323"/>
      <c r="EJ760" s="1323">
        <f t="shared" si="29"/>
        <v>0</v>
      </c>
      <c r="EK760" s="1323"/>
      <c r="EL760" s="1323"/>
      <c r="EM760" s="1323"/>
      <c r="EN760" s="1323"/>
      <c r="EO760" s="1323">
        <f t="shared" si="30"/>
        <v>0</v>
      </c>
      <c r="EP760" s="1323"/>
      <c r="EQ760" s="1323"/>
      <c r="ER760" s="1323"/>
      <c r="ES760" s="1323"/>
      <c r="ET760" s="1323">
        <f t="shared" si="31"/>
        <v>0</v>
      </c>
      <c r="EU760" s="1323"/>
      <c r="EV760" s="1323"/>
      <c r="EW760" s="1323"/>
      <c r="EX760" s="1323"/>
      <c r="EY760"/>
      <c r="EZ760" s="1301" t="str">
        <f t="shared" si="32"/>
        <v/>
      </c>
      <c r="FA760" s="1302"/>
      <c r="FB760" s="1302"/>
      <c r="FC760" s="1302"/>
      <c r="FD760" s="1303"/>
      <c r="FE760" s="1301" t="str">
        <f t="shared" si="33"/>
        <v/>
      </c>
      <c r="FF760" s="1302"/>
      <c r="FG760" s="1302"/>
      <c r="FH760" s="1302"/>
      <c r="FI760" s="1303"/>
      <c r="FJ760" s="1301" t="str">
        <f t="shared" si="34"/>
        <v/>
      </c>
      <c r="FK760" s="1302"/>
      <c r="FL760" s="1302"/>
      <c r="FM760" s="1302"/>
      <c r="FN760" s="1303"/>
      <c r="FO760" s="1301" t="str">
        <f t="shared" si="35"/>
        <v/>
      </c>
      <c r="FP760" s="1302"/>
      <c r="FQ760" s="1302"/>
      <c r="FR760" s="1302"/>
      <c r="FS760" s="1303"/>
      <c r="FT760" s="1301" t="str">
        <f t="shared" si="36"/>
        <v/>
      </c>
      <c r="FU760" s="1302"/>
      <c r="FV760" s="1302"/>
      <c r="FW760" s="1302"/>
      <c r="FX760" s="1303"/>
      <c r="FY760" s="1301" t="str">
        <f t="shared" si="37"/>
        <v/>
      </c>
      <c r="FZ760" s="1302"/>
      <c r="GA760" s="1302"/>
      <c r="GB760" s="1302"/>
      <c r="GC760" s="1303"/>
    </row>
    <row r="761" spans="1:185" s="3" customFormat="1" ht="12.95" customHeight="1">
      <c r="A761"/>
      <c r="B761" s="1326" t="s">
        <v>125</v>
      </c>
      <c r="C761" s="1327"/>
      <c r="D761" s="1327"/>
      <c r="E761" s="1327"/>
      <c r="F761" s="1329"/>
      <c r="G761" s="1633">
        <f>SUM(G726:G760)</f>
        <v>220</v>
      </c>
      <c r="H761" s="1634"/>
      <c r="I761" s="1634"/>
      <c r="J761" s="1635"/>
      <c r="K761" s="898" t="s">
        <v>124</v>
      </c>
      <c r="L761" s="5"/>
      <c r="M761" s="5"/>
      <c r="N761" s="46"/>
      <c r="O761" s="1308">
        <f>SUMPRODUCT(G726:G760,O726:O760)</f>
        <v>298337</v>
      </c>
      <c r="P761" s="1309"/>
      <c r="Q761" s="1309"/>
      <c r="R761" s="1309"/>
      <c r="S761" s="1310"/>
      <c r="T761"/>
      <c r="U761"/>
      <c r="V761"/>
      <c r="W761"/>
      <c r="X761" s="900" t="s">
        <v>900</v>
      </c>
      <c r="Y761" s="899"/>
      <c r="Z761" s="899"/>
      <c r="AA761" s="899"/>
      <c r="AB761" s="901"/>
      <c r="AC761" s="1542">
        <f>BH761</f>
        <v>0.5586363636363636</v>
      </c>
      <c r="AD761" s="1543"/>
      <c r="AE761" s="1543"/>
      <c r="AF761" s="1543"/>
      <c r="AG761" s="1544"/>
      <c r="AH761" s="1542">
        <f>IFERROR(BU761,"")</f>
        <v>0.55861821575250792</v>
      </c>
      <c r="AI761" s="1543"/>
      <c r="AJ761" s="1544"/>
      <c r="AK761"/>
      <c r="AL761"/>
      <c r="AM761"/>
      <c r="AN761"/>
      <c r="AO761"/>
      <c r="AP761" s="205"/>
      <c r="AQ761" s="205"/>
      <c r="AR761" s="205"/>
      <c r="AS761" s="205"/>
      <c r="AT761"/>
      <c r="AU761"/>
      <c r="AV761"/>
      <c r="AW761"/>
      <c r="AX761"/>
      <c r="AY761"/>
      <c r="AZ761" s="34"/>
      <c r="BA761" s="34"/>
      <c r="BB761" s="34"/>
      <c r="BC761" s="34"/>
      <c r="BE761" s="290" t="s">
        <v>899</v>
      </c>
      <c r="BF761" s="299">
        <f>SUM(BF726:BF760)</f>
        <v>220</v>
      </c>
      <c r="BG761" s="300">
        <f>SUM(BG726:BG760)</f>
        <v>1</v>
      </c>
      <c r="BH761" s="300">
        <f>SUM(BH726:BH760)</f>
        <v>0.5586363636363636</v>
      </c>
      <c r="BI761"/>
      <c r="BJ761"/>
      <c r="BK761"/>
      <c r="BL761"/>
      <c r="BO761"/>
      <c r="BP761"/>
      <c r="BQ761"/>
      <c r="BR761"/>
      <c r="BS761" s="855">
        <f>SUM(BS726:BS760)</f>
        <v>220</v>
      </c>
      <c r="BT761" s="300">
        <f>SUM(BT726:BT760)</f>
        <v>1</v>
      </c>
      <c r="BU761" s="300">
        <f>SUM(BU726:BU760)</f>
        <v>0.55861821575250792</v>
      </c>
      <c r="CI761" s="1301">
        <f>SUM(CI726:CJ760)</f>
        <v>22</v>
      </c>
      <c r="CJ761" s="1303"/>
      <c r="CM761" s="1301">
        <f>SUM(CM726:CN760)</f>
        <v>23</v>
      </c>
      <c r="CN761" s="1303"/>
      <c r="CP761" s="1301">
        <f>SUM(CP726:CT760)</f>
        <v>0</v>
      </c>
      <c r="CQ761" s="1302"/>
      <c r="CR761" s="1302"/>
      <c r="CS761" s="1302"/>
      <c r="CT761" s="1303"/>
      <c r="CU761" s="1325">
        <f>SUM(CU726:CY760)</f>
        <v>144</v>
      </c>
      <c r="CV761" s="1325"/>
      <c r="CW761" s="1325"/>
      <c r="CX761" s="1325"/>
      <c r="CY761" s="1325"/>
      <c r="CZ761" s="1325">
        <f>SUM(CZ726:DD760)</f>
        <v>76</v>
      </c>
      <c r="DA761" s="1325"/>
      <c r="DB761" s="1325"/>
      <c r="DC761" s="1325"/>
      <c r="DD761" s="1325"/>
      <c r="DE761" s="1325">
        <f>SUM(DE726:DI760)</f>
        <v>0</v>
      </c>
      <c r="DF761" s="1325"/>
      <c r="DG761" s="1325"/>
      <c r="DH761" s="1325"/>
      <c r="DI761" s="1325"/>
      <c r="DJ761" s="1325">
        <f>SUM(DJ726:DN760)</f>
        <v>0</v>
      </c>
      <c r="DK761" s="1325"/>
      <c r="DL761" s="1325"/>
      <c r="DM761" s="1325"/>
      <c r="DN761" s="1325"/>
      <c r="DO761" s="1325">
        <f>SUM(DO726:DS760)</f>
        <v>0</v>
      </c>
      <c r="DP761" s="1325"/>
      <c r="DQ761" s="1325"/>
      <c r="DR761" s="1325"/>
      <c r="DS761" s="1325"/>
      <c r="DT761" s="354"/>
      <c r="DU761" s="1325">
        <f>SUM(DU726:DY760)</f>
        <v>0</v>
      </c>
      <c r="DV761" s="1325"/>
      <c r="DW761" s="1325"/>
      <c r="DX761" s="1325"/>
      <c r="DY761" s="1325"/>
      <c r="DZ761" s="1325">
        <f>SUM(DZ726:ED760)</f>
        <v>15</v>
      </c>
      <c r="EA761" s="1325"/>
      <c r="EB761" s="1325"/>
      <c r="EC761" s="1325"/>
      <c r="ED761" s="1325"/>
      <c r="EE761" s="1325">
        <f>SUM(EE726:EI760)</f>
        <v>8</v>
      </c>
      <c r="EF761" s="1325"/>
      <c r="EG761" s="1325"/>
      <c r="EH761" s="1325"/>
      <c r="EI761" s="1325"/>
      <c r="EJ761" s="1325">
        <f>SUM(EJ726:EN760)</f>
        <v>0</v>
      </c>
      <c r="EK761" s="1325"/>
      <c r="EL761" s="1325"/>
      <c r="EM761" s="1325"/>
      <c r="EN761" s="1325"/>
      <c r="EO761" s="1325">
        <f>SUM(EO726:ES760)</f>
        <v>0</v>
      </c>
      <c r="EP761" s="1325"/>
      <c r="EQ761" s="1325"/>
      <c r="ER761" s="1325"/>
      <c r="ES761" s="1325"/>
      <c r="ET761" s="1325">
        <f>SUM(ET726:EX760)</f>
        <v>0</v>
      </c>
      <c r="EU761" s="1325"/>
      <c r="EV761" s="1325"/>
      <c r="EW761" s="1325"/>
      <c r="EX761" s="1325"/>
      <c r="EY761"/>
      <c r="EZ761" s="1325">
        <f>SUM(EZ726:FD760)</f>
        <v>0</v>
      </c>
      <c r="FA761" s="1325"/>
      <c r="FB761" s="1325"/>
      <c r="FC761" s="1325"/>
      <c r="FD761" s="1325"/>
      <c r="FE761" s="1325">
        <f>SUM(FE726:FI760)</f>
        <v>3151</v>
      </c>
      <c r="FF761" s="1325"/>
      <c r="FG761" s="1325"/>
      <c r="FH761" s="1325"/>
      <c r="FI761" s="1325"/>
      <c r="FJ761" s="1325">
        <f>SUM(FJ726:FN760)</f>
        <v>3764</v>
      </c>
      <c r="FK761" s="1325"/>
      <c r="FL761" s="1325"/>
      <c r="FM761" s="1325"/>
      <c r="FN761" s="1325"/>
      <c r="FO761" s="1325">
        <f>SUM(FO726:FS760)</f>
        <v>0</v>
      </c>
      <c r="FP761" s="1325"/>
      <c r="FQ761" s="1325"/>
      <c r="FR761" s="1325"/>
      <c r="FS761" s="1325"/>
      <c r="FT761" s="1325">
        <f>SUM(FT726:FX760)</f>
        <v>0</v>
      </c>
      <c r="FU761" s="1325"/>
      <c r="FV761" s="1325"/>
      <c r="FW761" s="1325"/>
      <c r="FX761" s="1325"/>
      <c r="FY761" s="1325">
        <f>SUM(FY726:GC760)</f>
        <v>0</v>
      </c>
      <c r="FZ761" s="1325"/>
      <c r="GA761" s="1325"/>
      <c r="GB761" s="1325"/>
      <c r="GC761" s="1325"/>
    </row>
    <row r="762" spans="1:185" s="3" customFormat="1" ht="12.95" customHeight="1">
      <c r="A762"/>
      <c r="B762" s="1694" t="s">
        <v>1866</v>
      </c>
      <c r="C762" s="1694"/>
      <c r="D762" s="1694"/>
      <c r="E762" s="1694"/>
      <c r="F762" s="1694"/>
      <c r="G762" s="1694"/>
      <c r="H762" s="1694"/>
      <c r="I762" s="1694"/>
      <c r="J762" s="1694"/>
      <c r="K762" s="1694"/>
      <c r="L762" s="1694"/>
      <c r="M762" s="1694"/>
      <c r="N762" s="1694"/>
      <c r="O762" s="1694"/>
      <c r="P762" s="1694"/>
      <c r="Q762" s="1694"/>
      <c r="R762" s="1694"/>
      <c r="S762" s="1694"/>
      <c r="T762" s="1694"/>
      <c r="U762" s="1694"/>
      <c r="V762" s="1694"/>
      <c r="W762" s="1694"/>
      <c r="X762" s="1694"/>
      <c r="Y762" s="1694"/>
      <c r="Z762" s="1694"/>
      <c r="AA762" s="1694"/>
      <c r="AB762" s="1694"/>
      <c r="AC762" s="1694"/>
      <c r="AD762" s="1694"/>
      <c r="AE762" s="1694"/>
      <c r="AF762" s="1694"/>
      <c r="AG762" s="1694"/>
      <c r="AH762" s="1694"/>
      <c r="AI762"/>
      <c r="AJ762"/>
      <c r="AK762"/>
      <c r="AT762"/>
      <c r="AU762"/>
      <c r="AV762"/>
      <c r="AW762"/>
      <c r="AX762"/>
      <c r="AY762"/>
      <c r="CD762"/>
      <c r="DN762" s="56" t="s">
        <v>1834</v>
      </c>
      <c r="DO762" s="1301">
        <f>CP761+CU761+CZ761+DE761+DJ761+DO761</f>
        <v>220</v>
      </c>
      <c r="DP762" s="1302"/>
      <c r="DQ762" s="1302"/>
      <c r="DR762" s="1302"/>
      <c r="DS762" s="1303"/>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94"/>
      <c r="C763" s="1694"/>
      <c r="D763" s="1694"/>
      <c r="E763" s="1694"/>
      <c r="F763" s="1694"/>
      <c r="G763" s="1694"/>
      <c r="H763" s="1694"/>
      <c r="I763" s="1694"/>
      <c r="J763" s="1694"/>
      <c r="K763" s="1694"/>
      <c r="L763" s="1694"/>
      <c r="M763" s="1694"/>
      <c r="N763" s="1694"/>
      <c r="O763" s="1694"/>
      <c r="P763" s="1694"/>
      <c r="Q763" s="1694"/>
      <c r="R763" s="1694"/>
      <c r="S763" s="1694"/>
      <c r="T763" s="1694"/>
      <c r="U763" s="1694"/>
      <c r="V763" s="1694"/>
      <c r="W763" s="1694"/>
      <c r="X763" s="1694"/>
      <c r="Y763" s="1694"/>
      <c r="Z763" s="1694"/>
      <c r="AA763" s="1694"/>
      <c r="AB763" s="1694"/>
      <c r="AC763" s="1694"/>
      <c r="AD763" s="1694"/>
      <c r="AE763" s="1694"/>
      <c r="AF763" s="1694"/>
      <c r="AG763" s="1694"/>
      <c r="AH763" s="169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144</v>
      </c>
      <c r="CZ763" s="3"/>
      <c r="DA763" s="3"/>
      <c r="DB763" s="3"/>
      <c r="DC763" s="3"/>
      <c r="DD763" s="857">
        <f>CZ761*2</f>
        <v>152</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296</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325">
        <f>DU763</f>
        <v>296</v>
      </c>
      <c r="P764" s="1325"/>
      <c r="Q764" s="1325"/>
      <c r="R764" s="1325"/>
      <c r="S764" s="965"/>
      <c r="T764" s="965"/>
      <c r="U764" s="118" t="s">
        <v>1865</v>
      </c>
      <c r="V764" s="1027"/>
      <c r="W764" s="1027"/>
      <c r="X764" s="1027"/>
      <c r="Y764" s="1028"/>
      <c r="Z764" s="1028"/>
      <c r="AA764" s="1028"/>
      <c r="AB764" s="1028"/>
      <c r="AC764" s="1027"/>
      <c r="AD764" s="1027"/>
      <c r="AE764" s="1027"/>
      <c r="AF764" s="1027"/>
      <c r="AG764" s="1752"/>
      <c r="AH764" s="1752"/>
      <c r="AI764" s="1752"/>
      <c r="AJ764" s="1752"/>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797" t="str">
        <f>IF(G761&lt;&gt;AG449,"! Total Low-Income Units in the Unit Mix Table above does not match the number of Total Low-Income Units on row #"&amp;TEXT(ROW(D449),"#"),"")</f>
        <v/>
      </c>
      <c r="D765" s="1797"/>
      <c r="E765" s="1797"/>
      <c r="F765" s="1797"/>
      <c r="G765" s="1797"/>
      <c r="H765" s="1797"/>
      <c r="I765" s="1797"/>
      <c r="J765" s="1797"/>
      <c r="K765" s="1797"/>
      <c r="L765" s="1797"/>
      <c r="M765" s="1797"/>
      <c r="N765" s="1797"/>
      <c r="O765" s="1797"/>
      <c r="P765" s="1797"/>
      <c r="Q765" s="1797"/>
      <c r="R765" s="1797"/>
      <c r="S765" s="1797"/>
      <c r="T765" s="1797"/>
      <c r="U765" s="1797"/>
      <c r="V765" s="1797"/>
      <c r="W765" s="1797"/>
      <c r="X765" s="1797"/>
      <c r="Y765" s="1797"/>
      <c r="Z765" s="1797"/>
      <c r="AA765" s="1797"/>
      <c r="AB765" s="1797"/>
      <c r="AC765" s="1797"/>
      <c r="AD765" s="1797"/>
      <c r="AE765" s="1797"/>
      <c r="AF765" s="1797"/>
      <c r="AG765" s="1797"/>
      <c r="AH765" s="1797"/>
      <c r="AI765" s="1797"/>
      <c r="AJ765" s="1797"/>
      <c r="AK765" s="1797"/>
      <c r="AL765" s="1797"/>
      <c r="AM765" s="179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797"/>
      <c r="D766" s="1797"/>
      <c r="E766" s="1797"/>
      <c r="F766" s="1797"/>
      <c r="G766" s="1797"/>
      <c r="H766" s="1797"/>
      <c r="I766" s="1797"/>
      <c r="J766" s="1797"/>
      <c r="K766" s="1797"/>
      <c r="L766" s="1797"/>
      <c r="M766" s="1797"/>
      <c r="N766" s="1797"/>
      <c r="O766" s="1797"/>
      <c r="P766" s="1797"/>
      <c r="Q766" s="1797"/>
      <c r="R766" s="1797"/>
      <c r="S766" s="1797"/>
      <c r="T766" s="1797"/>
      <c r="U766" s="1797"/>
      <c r="V766" s="1797"/>
      <c r="W766" s="1797"/>
      <c r="X766" s="1797"/>
      <c r="Y766" s="1797"/>
      <c r="Z766" s="1797"/>
      <c r="AA766" s="1797"/>
      <c r="AB766" s="1797"/>
      <c r="AC766" s="1797"/>
      <c r="AD766" s="1797"/>
      <c r="AE766" s="1797"/>
      <c r="AF766" s="1797"/>
      <c r="AG766" s="1797"/>
      <c r="AH766" s="1797"/>
      <c r="AI766" s="1797"/>
      <c r="AJ766" s="1797"/>
      <c r="AK766" s="1797"/>
      <c r="AL766" s="1797"/>
      <c r="AM766" s="179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36" t="s">
        <v>591</v>
      </c>
      <c r="AE767" s="1636"/>
      <c r="AF767" s="163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15" t="s">
        <v>2044</v>
      </c>
      <c r="D771" s="1515"/>
      <c r="E771" s="1515"/>
      <c r="F771" s="1515"/>
      <c r="G771" s="1515"/>
      <c r="H771" s="1515"/>
      <c r="I771" s="1515"/>
      <c r="J771" s="1515"/>
      <c r="K771" s="1515"/>
      <c r="L771" s="1515"/>
      <c r="M771" s="1515"/>
      <c r="N771" s="1515"/>
      <c r="O771" s="1515"/>
      <c r="P771" s="1515"/>
      <c r="Q771" s="1515"/>
      <c r="R771" s="1515"/>
      <c r="S771" s="1515"/>
      <c r="T771" s="1515"/>
      <c r="U771" s="1515"/>
      <c r="V771" s="1515"/>
      <c r="W771" s="1515"/>
      <c r="X771" s="1515"/>
      <c r="Y771" s="1515"/>
      <c r="Z771" s="1515"/>
      <c r="AA771" s="1515"/>
      <c r="AB771" s="1515"/>
      <c r="AC771" s="1515"/>
      <c r="AD771" s="1515"/>
      <c r="AE771" s="1515"/>
      <c r="AF771" s="1515"/>
      <c r="AG771" s="1515"/>
      <c r="AH771" s="1515"/>
      <c r="AI771" s="1515"/>
      <c r="AJ771" s="1515"/>
      <c r="AK771" s="1515"/>
      <c r="AL771" s="1515"/>
      <c r="AM771" s="1515"/>
      <c r="AN771" s="1515"/>
      <c r="AO771" s="1515"/>
      <c r="AP771" s="1515"/>
      <c r="AQ771" s="1515"/>
      <c r="AR771" s="151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15"/>
      <c r="D772" s="1515"/>
      <c r="E772" s="1515"/>
      <c r="F772" s="1515"/>
      <c r="G772" s="1515"/>
      <c r="H772" s="1515"/>
      <c r="I772" s="1515"/>
      <c r="J772" s="1515"/>
      <c r="K772" s="1515"/>
      <c r="L772" s="1515"/>
      <c r="M772" s="1515"/>
      <c r="N772" s="1515"/>
      <c r="O772" s="1515"/>
      <c r="P772" s="1515"/>
      <c r="Q772" s="1515"/>
      <c r="R772" s="1515"/>
      <c r="S772" s="1515"/>
      <c r="T772" s="1515"/>
      <c r="U772" s="1515"/>
      <c r="V772" s="1515"/>
      <c r="W772" s="1515"/>
      <c r="X772" s="1515"/>
      <c r="Y772" s="1515"/>
      <c r="Z772" s="1515"/>
      <c r="AA772" s="1515"/>
      <c r="AB772" s="1515"/>
      <c r="AC772" s="1515"/>
      <c r="AD772" s="1515"/>
      <c r="AE772" s="1515"/>
      <c r="AF772" s="1515"/>
      <c r="AG772" s="1515"/>
      <c r="AH772" s="1515"/>
      <c r="AI772" s="1515"/>
      <c r="AJ772" s="1515"/>
      <c r="AK772" s="1515"/>
      <c r="AL772" s="1515"/>
      <c r="AM772" s="1515"/>
      <c r="AN772" s="1515"/>
      <c r="AO772" s="1515"/>
      <c r="AP772" s="1515"/>
      <c r="AQ772" s="1515"/>
      <c r="AR772" s="151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15"/>
      <c r="D773" s="1515"/>
      <c r="E773" s="1515"/>
      <c r="F773" s="1515"/>
      <c r="G773" s="1515"/>
      <c r="H773" s="1515"/>
      <c r="I773" s="1515"/>
      <c r="J773" s="1515"/>
      <c r="K773" s="1515"/>
      <c r="L773" s="1515"/>
      <c r="M773" s="1515"/>
      <c r="N773" s="1515"/>
      <c r="O773" s="1515"/>
      <c r="P773" s="1515"/>
      <c r="Q773" s="1515"/>
      <c r="R773" s="1515"/>
      <c r="S773" s="1515"/>
      <c r="T773" s="1515"/>
      <c r="U773" s="1515"/>
      <c r="V773" s="1515"/>
      <c r="W773" s="1515"/>
      <c r="X773" s="1515"/>
      <c r="Y773" s="1515"/>
      <c r="Z773" s="1515"/>
      <c r="AA773" s="1515"/>
      <c r="AB773" s="1515"/>
      <c r="AC773" s="1515"/>
      <c r="AD773" s="1515"/>
      <c r="AE773" s="1515"/>
      <c r="AF773" s="1515"/>
      <c r="AG773" s="1515"/>
      <c r="AH773" s="1515"/>
      <c r="AI773" s="1515"/>
      <c r="AJ773" s="1515"/>
      <c r="AK773" s="1515"/>
      <c r="AL773" s="1515"/>
      <c r="AM773" s="1515"/>
      <c r="AN773" s="1515"/>
      <c r="AO773" s="1515"/>
      <c r="AP773" s="1515"/>
      <c r="AQ773" s="1515"/>
      <c r="AR773" s="151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15" t="s">
        <v>2045</v>
      </c>
      <c r="D774" s="1515"/>
      <c r="E774" s="1515"/>
      <c r="F774" s="1515"/>
      <c r="G774" s="1515"/>
      <c r="H774" s="1515"/>
      <c r="I774" s="1515"/>
      <c r="J774" s="1515"/>
      <c r="K774" s="1515"/>
      <c r="L774" s="1515"/>
      <c r="M774" s="1515"/>
      <c r="N774" s="1515"/>
      <c r="O774" s="1515"/>
      <c r="P774" s="1515"/>
      <c r="Q774" s="1515"/>
      <c r="R774" s="1515"/>
      <c r="S774" s="1515"/>
      <c r="T774" s="1515"/>
      <c r="U774" s="1515"/>
      <c r="V774" s="1515"/>
      <c r="W774" s="1515"/>
      <c r="X774" s="1515"/>
      <c r="Y774" s="1515"/>
      <c r="Z774" s="1515"/>
      <c r="AA774" s="1515"/>
      <c r="AB774" s="1515"/>
      <c r="AC774" s="1515"/>
      <c r="AD774" s="1515"/>
      <c r="AE774" s="1515"/>
      <c r="AF774" s="1515"/>
      <c r="AG774" s="1515"/>
      <c r="AH774" s="1515"/>
      <c r="AI774" s="1515"/>
      <c r="AJ774" s="1515"/>
      <c r="AK774" s="1515"/>
      <c r="AL774" s="1515"/>
      <c r="AM774" s="1515"/>
      <c r="AN774" s="1515"/>
      <c r="AO774" s="1515"/>
      <c r="AP774" s="1515"/>
      <c r="AQ774" s="1515"/>
      <c r="AR774" s="151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15"/>
      <c r="D775" s="1515"/>
      <c r="E775" s="1515"/>
      <c r="F775" s="1515"/>
      <c r="G775" s="1515"/>
      <c r="H775" s="1515"/>
      <c r="I775" s="1515"/>
      <c r="J775" s="1515"/>
      <c r="K775" s="1515"/>
      <c r="L775" s="1515"/>
      <c r="M775" s="1515"/>
      <c r="N775" s="1515"/>
      <c r="O775" s="1515"/>
      <c r="P775" s="1515"/>
      <c r="Q775" s="1515"/>
      <c r="R775" s="1515"/>
      <c r="S775" s="1515"/>
      <c r="T775" s="1515"/>
      <c r="U775" s="1515"/>
      <c r="V775" s="1515"/>
      <c r="W775" s="1515"/>
      <c r="X775" s="1515"/>
      <c r="Y775" s="1515"/>
      <c r="Z775" s="1515"/>
      <c r="AA775" s="1515"/>
      <c r="AB775" s="1515"/>
      <c r="AC775" s="1515"/>
      <c r="AD775" s="1515"/>
      <c r="AE775" s="1515"/>
      <c r="AF775" s="1515"/>
      <c r="AG775" s="1515"/>
      <c r="AH775" s="1515"/>
      <c r="AI775" s="1515"/>
      <c r="AJ775" s="1515"/>
      <c r="AK775" s="1515"/>
      <c r="AL775" s="1515"/>
      <c r="AM775" s="1515"/>
      <c r="AN775" s="1515"/>
      <c r="AO775" s="1515"/>
      <c r="AP775" s="1515"/>
      <c r="AQ775" s="1515"/>
      <c r="AR775" s="151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15"/>
      <c r="D776" s="1515"/>
      <c r="E776" s="1515"/>
      <c r="F776" s="1515"/>
      <c r="G776" s="1515"/>
      <c r="H776" s="1515"/>
      <c r="I776" s="1515"/>
      <c r="J776" s="1515"/>
      <c r="K776" s="1515"/>
      <c r="L776" s="1515"/>
      <c r="M776" s="1515"/>
      <c r="N776" s="1515"/>
      <c r="O776" s="1515"/>
      <c r="P776" s="1515"/>
      <c r="Q776" s="1515"/>
      <c r="R776" s="1515"/>
      <c r="S776" s="1515"/>
      <c r="T776" s="1515"/>
      <c r="U776" s="1515"/>
      <c r="V776" s="1515"/>
      <c r="W776" s="1515"/>
      <c r="X776" s="1515"/>
      <c r="Y776" s="1515"/>
      <c r="Z776" s="1515"/>
      <c r="AA776" s="1515"/>
      <c r="AB776" s="1515"/>
      <c r="AC776" s="1515"/>
      <c r="AD776" s="1515"/>
      <c r="AE776" s="1515"/>
      <c r="AF776" s="1515"/>
      <c r="AG776" s="1515"/>
      <c r="AH776" s="1515"/>
      <c r="AI776" s="1515"/>
      <c r="AJ776" s="1515"/>
      <c r="AK776" s="1515"/>
      <c r="AL776" s="1515"/>
      <c r="AM776" s="1515"/>
      <c r="AN776" s="1515"/>
      <c r="AO776" s="1515"/>
      <c r="AP776" s="1515"/>
      <c r="AQ776" s="1515"/>
      <c r="AR776" s="151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30" t="s">
        <v>389</v>
      </c>
      <c r="K777" s="1531"/>
      <c r="L777" s="1531"/>
      <c r="M777" s="1531"/>
      <c r="N777" s="1532"/>
      <c r="O777" s="1529" t="s">
        <v>285</v>
      </c>
      <c r="P777" s="1529"/>
      <c r="Q777" s="1529"/>
      <c r="R777" s="1529"/>
      <c r="S777" s="1529"/>
      <c r="T777" s="1369" t="s">
        <v>1668</v>
      </c>
      <c r="U777" s="1370"/>
      <c r="V777" s="1370"/>
      <c r="W777" s="1371"/>
      <c r="X777" s="1530" t="s">
        <v>447</v>
      </c>
      <c r="Y777" s="1531"/>
      <c r="Z777" s="1531"/>
      <c r="AA777" s="1531"/>
      <c r="AB777" s="1532"/>
      <c r="AC777" s="1530" t="s">
        <v>286</v>
      </c>
      <c r="AD777" s="1531"/>
      <c r="AE777" s="1531"/>
      <c r="AF777" s="1531"/>
      <c r="AG777" s="1532"/>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533"/>
      <c r="K778" s="1534"/>
      <c r="L778" s="1534"/>
      <c r="M778" s="1534"/>
      <c r="N778" s="1535"/>
      <c r="O778" s="1529"/>
      <c r="P778" s="1529"/>
      <c r="Q778" s="1529"/>
      <c r="R778" s="1529"/>
      <c r="S778" s="1529"/>
      <c r="T778" s="1372"/>
      <c r="U778" s="1373"/>
      <c r="V778" s="1373"/>
      <c r="W778" s="1374"/>
      <c r="X778" s="1533"/>
      <c r="Y778" s="1534"/>
      <c r="Z778" s="1534"/>
      <c r="AA778" s="1534"/>
      <c r="AB778" s="1535"/>
      <c r="AC778" s="1533"/>
      <c r="AD778" s="1534"/>
      <c r="AE778" s="1534"/>
      <c r="AF778" s="1534"/>
      <c r="AG778" s="1535"/>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533"/>
      <c r="K779" s="1534"/>
      <c r="L779" s="1534"/>
      <c r="M779" s="1534"/>
      <c r="N779" s="1535"/>
      <c r="O779" s="1529"/>
      <c r="P779" s="1529"/>
      <c r="Q779" s="1529"/>
      <c r="R779" s="1529"/>
      <c r="S779" s="1529"/>
      <c r="T779" s="1372"/>
      <c r="U779" s="1373"/>
      <c r="V779" s="1373"/>
      <c r="W779" s="1374"/>
      <c r="X779" s="1533"/>
      <c r="Y779" s="1534"/>
      <c r="Z779" s="1534"/>
      <c r="AA779" s="1534"/>
      <c r="AB779" s="1535"/>
      <c r="AC779" s="1533"/>
      <c r="AD779" s="1534"/>
      <c r="AE779" s="1534"/>
      <c r="AF779" s="1534"/>
      <c r="AG779" s="1535"/>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536"/>
      <c r="K780" s="1537"/>
      <c r="L780" s="1537"/>
      <c r="M780" s="1537"/>
      <c r="N780" s="1538"/>
      <c r="O780" s="1529"/>
      <c r="P780" s="1529"/>
      <c r="Q780" s="1529"/>
      <c r="R780" s="1529"/>
      <c r="S780" s="1529"/>
      <c r="T780" s="1539"/>
      <c r="U780" s="1540"/>
      <c r="V780" s="1540"/>
      <c r="W780" s="1541"/>
      <c r="X780" s="1536"/>
      <c r="Y780" s="1537"/>
      <c r="Z780" s="1537"/>
      <c r="AA780" s="1537"/>
      <c r="AB780" s="1538"/>
      <c r="AC780" s="1536"/>
      <c r="AD780" s="1537"/>
      <c r="AE780" s="1537"/>
      <c r="AF780" s="1537"/>
      <c r="AG780" s="1538"/>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05" t="s">
        <v>163</v>
      </c>
      <c r="K781" s="1306"/>
      <c r="L781" s="1306"/>
      <c r="M781" s="1306"/>
      <c r="N781" s="1307"/>
      <c r="O781" s="1461">
        <v>2</v>
      </c>
      <c r="P781" s="1461"/>
      <c r="Q781" s="1461"/>
      <c r="R781" s="1461"/>
      <c r="S781" s="1461"/>
      <c r="T781" s="1524">
        <v>807</v>
      </c>
      <c r="U781" s="1525"/>
      <c r="V781" s="1525"/>
      <c r="W781" s="1526"/>
      <c r="X781" s="1320">
        <v>1641</v>
      </c>
      <c r="Y781" s="1321"/>
      <c r="Z781" s="1321"/>
      <c r="AA781" s="1321"/>
      <c r="AB781" s="1322"/>
      <c r="AC781" s="1308">
        <f>X781*O781</f>
        <v>3282</v>
      </c>
      <c r="AD781" s="1309"/>
      <c r="AE781" s="1309"/>
      <c r="AF781" s="1309"/>
      <c r="AG781" s="1310"/>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82">
        <f>IF(J781="SRO/Studio",O781,0)</f>
        <v>0</v>
      </c>
      <c r="CQ781" s="1283"/>
      <c r="CR781" s="1283"/>
      <c r="CS781" s="1283"/>
      <c r="CT781" s="1284"/>
      <c r="CU781" s="1304">
        <f>IF(J781="1 Bedroom",O781,0)</f>
        <v>0</v>
      </c>
      <c r="CV781" s="1304"/>
      <c r="CW781" s="1304"/>
      <c r="CX781" s="1304"/>
      <c r="CY781" s="1304"/>
      <c r="CZ781" s="1304">
        <f>IF(J781="2 Bedrooms",O781,0)</f>
        <v>2</v>
      </c>
      <c r="DA781" s="1304"/>
      <c r="DB781" s="1304"/>
      <c r="DC781" s="1304"/>
      <c r="DD781" s="1304"/>
      <c r="DE781" s="1304">
        <f>IF(J781="3 Bedrooms",O781,0)</f>
        <v>0</v>
      </c>
      <c r="DF781" s="1304"/>
      <c r="DG781" s="1304"/>
      <c r="DH781" s="1304"/>
      <c r="DI781" s="1304"/>
      <c r="DJ781" s="1304">
        <f>IF(J781="4 Bedrooms",O781,0)</f>
        <v>0</v>
      </c>
      <c r="DK781" s="1304"/>
      <c r="DL781" s="1304"/>
      <c r="DM781" s="1304"/>
      <c r="DN781" s="1304"/>
      <c r="DO781" s="1304">
        <f>IF(J781="5 Bedrooms",O781,0)</f>
        <v>0</v>
      </c>
      <c r="DP781" s="1304"/>
      <c r="DQ781" s="1304"/>
      <c r="DR781" s="1304"/>
      <c r="DS781" s="1304"/>
      <c r="DT781" s="6"/>
      <c r="DU781" s="3"/>
      <c r="DV781" s="3"/>
    </row>
    <row r="782" spans="1:159" ht="12.95" customHeight="1">
      <c r="J782" s="1305"/>
      <c r="K782" s="1306"/>
      <c r="L782" s="1306"/>
      <c r="M782" s="1306"/>
      <c r="N782" s="1307"/>
      <c r="O782" s="1461"/>
      <c r="P782" s="1461"/>
      <c r="Q782" s="1461"/>
      <c r="R782" s="1461"/>
      <c r="S782" s="1461"/>
      <c r="T782" s="1524"/>
      <c r="U782" s="1525"/>
      <c r="V782" s="1525"/>
      <c r="W782" s="1526"/>
      <c r="X782" s="1320"/>
      <c r="Y782" s="1321"/>
      <c r="Z782" s="1321"/>
      <c r="AA782" s="1321"/>
      <c r="AB782" s="1322"/>
      <c r="AC782" s="1308">
        <f>X782*O782</f>
        <v>0</v>
      </c>
      <c r="AD782" s="1309"/>
      <c r="AE782" s="1309"/>
      <c r="AF782" s="1309"/>
      <c r="AG782" s="1310"/>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82">
        <f>IF(J782="SRO/Studio",O782,0)</f>
        <v>0</v>
      </c>
      <c r="CQ782" s="1283"/>
      <c r="CR782" s="1283"/>
      <c r="CS782" s="1283"/>
      <c r="CT782" s="1284"/>
      <c r="CU782" s="1304">
        <f>IF(J782="1 Bedroom",O782,0)</f>
        <v>0</v>
      </c>
      <c r="CV782" s="1304"/>
      <c r="CW782" s="1304"/>
      <c r="CX782" s="1304"/>
      <c r="CY782" s="1304"/>
      <c r="CZ782" s="1304">
        <f>IF(J782="2 Bedrooms",O782,0)</f>
        <v>0</v>
      </c>
      <c r="DA782" s="1304"/>
      <c r="DB782" s="1304"/>
      <c r="DC782" s="1304"/>
      <c r="DD782" s="1304"/>
      <c r="DE782" s="1304">
        <f>IF(J782="3 Bedrooms",O782,0)</f>
        <v>0</v>
      </c>
      <c r="DF782" s="1304"/>
      <c r="DG782" s="1304"/>
      <c r="DH782" s="1304"/>
      <c r="DI782" s="1304"/>
      <c r="DJ782" s="1304">
        <f>IF(J782="4 Bedrooms",O782,0)</f>
        <v>0</v>
      </c>
      <c r="DK782" s="1304"/>
      <c r="DL782" s="1304"/>
      <c r="DM782" s="1304"/>
      <c r="DN782" s="1304"/>
      <c r="DO782" s="1304">
        <f>IF(J782="5 Bedrooms",O782,0)</f>
        <v>0</v>
      </c>
      <c r="DP782" s="1304"/>
      <c r="DQ782" s="1304"/>
      <c r="DR782" s="1304"/>
      <c r="DS782" s="1304"/>
      <c r="DT782" s="6"/>
      <c r="DU782" s="3"/>
      <c r="DV782" s="3"/>
    </row>
    <row r="783" spans="1:159" ht="12.95" customHeight="1">
      <c r="J783" s="1305"/>
      <c r="K783" s="1306"/>
      <c r="L783" s="1306"/>
      <c r="M783" s="1306"/>
      <c r="N783" s="1307"/>
      <c r="O783" s="1461"/>
      <c r="P783" s="1461"/>
      <c r="Q783" s="1461"/>
      <c r="R783" s="1461"/>
      <c r="S783" s="1461"/>
      <c r="T783" s="1524"/>
      <c r="U783" s="1525"/>
      <c r="V783" s="1525"/>
      <c r="W783" s="1526"/>
      <c r="X783" s="1320"/>
      <c r="Y783" s="1321"/>
      <c r="Z783" s="1321"/>
      <c r="AA783" s="1321"/>
      <c r="AB783" s="1322"/>
      <c r="AC783" s="1308">
        <f>X783*O783</f>
        <v>0</v>
      </c>
      <c r="AD783" s="1309"/>
      <c r="AE783" s="1309"/>
      <c r="AF783" s="1309"/>
      <c r="AG783" s="1310"/>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82">
        <f>IF(J783="SRO/Studio",O783,0)</f>
        <v>0</v>
      </c>
      <c r="CQ783" s="1283"/>
      <c r="CR783" s="1283"/>
      <c r="CS783" s="1283"/>
      <c r="CT783" s="1284"/>
      <c r="CU783" s="1304">
        <f>IF(J783="1 Bedroom",O783,0)</f>
        <v>0</v>
      </c>
      <c r="CV783" s="1304"/>
      <c r="CW783" s="1304"/>
      <c r="CX783" s="1304"/>
      <c r="CY783" s="1304"/>
      <c r="CZ783" s="1304">
        <f>IF(J783="2 Bedrooms",O783,0)</f>
        <v>0</v>
      </c>
      <c r="DA783" s="1304"/>
      <c r="DB783" s="1304"/>
      <c r="DC783" s="1304"/>
      <c r="DD783" s="1304"/>
      <c r="DE783" s="1304">
        <f>IF(J783="3 Bedrooms",O783,0)</f>
        <v>0</v>
      </c>
      <c r="DF783" s="1304"/>
      <c r="DG783" s="1304"/>
      <c r="DH783" s="1304"/>
      <c r="DI783" s="1304"/>
      <c r="DJ783" s="1304">
        <f>IF(J783="4 Bedrooms",O783,0)</f>
        <v>0</v>
      </c>
      <c r="DK783" s="1304"/>
      <c r="DL783" s="1304"/>
      <c r="DM783" s="1304"/>
      <c r="DN783" s="1304"/>
      <c r="DO783" s="1304">
        <f>IF(J783="5 Bedrooms",O783,0)</f>
        <v>0</v>
      </c>
      <c r="DP783" s="1304"/>
      <c r="DQ783" s="1304"/>
      <c r="DR783" s="1304"/>
      <c r="DS783" s="1304"/>
      <c r="DT783" s="1007"/>
    </row>
    <row r="784" spans="1:159" ht="12.95" customHeight="1">
      <c r="J784" s="1305"/>
      <c r="K784" s="1306"/>
      <c r="L784" s="1306"/>
      <c r="M784" s="1306"/>
      <c r="N784" s="1307"/>
      <c r="O784" s="1461"/>
      <c r="P784" s="1461"/>
      <c r="Q784" s="1461"/>
      <c r="R784" s="1461"/>
      <c r="S784" s="1461"/>
      <c r="T784" s="1524"/>
      <c r="U784" s="1525"/>
      <c r="V784" s="1525"/>
      <c r="W784" s="1526"/>
      <c r="X784" s="1320"/>
      <c r="Y784" s="1321"/>
      <c r="Z784" s="1321"/>
      <c r="AA784" s="1321"/>
      <c r="AB784" s="1322"/>
      <c r="AC784" s="1308">
        <f>X784*O784</f>
        <v>0</v>
      </c>
      <c r="AD784" s="1309"/>
      <c r="AE784" s="1309"/>
      <c r="AF784" s="1309"/>
      <c r="AG784" s="1310"/>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82">
        <f>IF(J784="SRO/Studio",O784,0)</f>
        <v>0</v>
      </c>
      <c r="CQ784" s="1283"/>
      <c r="CR784" s="1283"/>
      <c r="CS784" s="1283"/>
      <c r="CT784" s="1284"/>
      <c r="CU784" s="1304">
        <f>IF(J784="1 Bedroom",O784,0)</f>
        <v>0</v>
      </c>
      <c r="CV784" s="1304"/>
      <c r="CW784" s="1304"/>
      <c r="CX784" s="1304"/>
      <c r="CY784" s="1304"/>
      <c r="CZ784" s="1304">
        <f>IF(J784="2 Bedrooms",O784,0)</f>
        <v>0</v>
      </c>
      <c r="DA784" s="1304"/>
      <c r="DB784" s="1304"/>
      <c r="DC784" s="1304"/>
      <c r="DD784" s="1304"/>
      <c r="DE784" s="1304">
        <f>IF(J784="3 Bedrooms",O784,0)</f>
        <v>0</v>
      </c>
      <c r="DF784" s="1304"/>
      <c r="DG784" s="1304"/>
      <c r="DH784" s="1304"/>
      <c r="DI784" s="1304"/>
      <c r="DJ784" s="1304">
        <f>IF(J784="4 Bedrooms",O784,0)</f>
        <v>0</v>
      </c>
      <c r="DK784" s="1304"/>
      <c r="DL784" s="1304"/>
      <c r="DM784" s="1304"/>
      <c r="DN784" s="1304"/>
      <c r="DO784" s="1304">
        <f>IF(J784="5 Bedrooms",O784,0)</f>
        <v>0</v>
      </c>
      <c r="DP784" s="1304"/>
      <c r="DQ784" s="1304"/>
      <c r="DR784" s="1304"/>
      <c r="DS784" s="1304"/>
    </row>
    <row r="785" spans="1:154" ht="12.95" customHeight="1">
      <c r="J785" s="1326" t="s">
        <v>125</v>
      </c>
      <c r="K785" s="1327"/>
      <c r="L785" s="1327"/>
      <c r="M785" s="1327"/>
      <c r="N785" s="1329"/>
      <c r="O785" s="1285">
        <f>SUM(O781:S784)</f>
        <v>2</v>
      </c>
      <c r="P785" s="1286"/>
      <c r="Q785" s="1286"/>
      <c r="R785" s="1286"/>
      <c r="S785" s="1287"/>
      <c r="X785" s="1326" t="s">
        <v>124</v>
      </c>
      <c r="Y785" s="1327"/>
      <c r="Z785" s="1327"/>
      <c r="AA785" s="1327"/>
      <c r="AB785" s="1329"/>
      <c r="AC785" s="1308">
        <f>SUM(AC781:AG784)</f>
        <v>3282</v>
      </c>
      <c r="AD785" s="1309"/>
      <c r="AE785" s="1309"/>
      <c r="AF785" s="1309"/>
      <c r="AG785" s="1310"/>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85">
        <f>SUM(CP781:CT784)</f>
        <v>0</v>
      </c>
      <c r="CQ785" s="1286"/>
      <c r="CR785" s="1286"/>
      <c r="CS785" s="1286"/>
      <c r="CT785" s="1287"/>
      <c r="CU785" s="1298">
        <f>SUM(CU781:CY784)</f>
        <v>0</v>
      </c>
      <c r="CV785" s="1299"/>
      <c r="CW785" s="1299"/>
      <c r="CX785" s="1299"/>
      <c r="CY785" s="1300"/>
      <c r="CZ785" s="1298">
        <f>SUM(CZ781:DD784)</f>
        <v>2</v>
      </c>
      <c r="DA785" s="1299"/>
      <c r="DB785" s="1299"/>
      <c r="DC785" s="1299"/>
      <c r="DD785" s="1300"/>
      <c r="DE785" s="1298">
        <f>SUM(DE781:DI784)</f>
        <v>0</v>
      </c>
      <c r="DF785" s="1299"/>
      <c r="DG785" s="1299"/>
      <c r="DH785" s="1299"/>
      <c r="DI785" s="1300"/>
      <c r="DJ785" s="1298">
        <f>SUM(DJ781:DN784)</f>
        <v>0</v>
      </c>
      <c r="DK785" s="1299"/>
      <c r="DL785" s="1299"/>
      <c r="DM785" s="1299"/>
      <c r="DN785" s="1300"/>
      <c r="DO785" s="1298">
        <f>SUM(DO781:DS784)</f>
        <v>0</v>
      </c>
      <c r="DP785" s="1299"/>
      <c r="DQ785" s="1299"/>
      <c r="DR785" s="1299"/>
      <c r="DS785" s="1300"/>
      <c r="DU785" s="857">
        <f>CP785+CU785+CZ785+DE785+DJ785+DO785</f>
        <v>2</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1835</v>
      </c>
    </row>
    <row r="787" spans="1:154" ht="12.95" customHeight="1">
      <c r="B787" s="56"/>
      <c r="C787" s="56"/>
      <c r="D787" s="56"/>
      <c r="E787" s="56"/>
      <c r="F787" s="56"/>
      <c r="G787" s="6"/>
      <c r="H787" s="6"/>
      <c r="I787" s="6"/>
      <c r="J787" s="1276" t="s">
        <v>669</v>
      </c>
      <c r="K787" s="1276"/>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30" t="s">
        <v>389</v>
      </c>
      <c r="K791" s="1531"/>
      <c r="L791" s="1531"/>
      <c r="M791" s="1531"/>
      <c r="N791" s="1532"/>
      <c r="O791" s="1529" t="s">
        <v>285</v>
      </c>
      <c r="P791" s="1529"/>
      <c r="Q791" s="1529"/>
      <c r="R791" s="1529"/>
      <c r="S791" s="1529"/>
      <c r="T791" s="1369" t="s">
        <v>1668</v>
      </c>
      <c r="U791" s="1370"/>
      <c r="V791" s="1370"/>
      <c r="W791" s="1371"/>
      <c r="X791" s="1530" t="s">
        <v>447</v>
      </c>
      <c r="Y791" s="1531"/>
      <c r="Z791" s="1531"/>
      <c r="AA791" s="1531"/>
      <c r="AB791" s="1532"/>
      <c r="AC791" s="1530" t="s">
        <v>286</v>
      </c>
      <c r="AD791" s="1531"/>
      <c r="AE791" s="1531"/>
      <c r="AF791" s="1531"/>
      <c r="AG791" s="1532"/>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533"/>
      <c r="K792" s="1534"/>
      <c r="L792" s="1534"/>
      <c r="M792" s="1534"/>
      <c r="N792" s="1535"/>
      <c r="O792" s="1529"/>
      <c r="P792" s="1529"/>
      <c r="Q792" s="1529"/>
      <c r="R792" s="1529"/>
      <c r="S792" s="1529"/>
      <c r="T792" s="1372"/>
      <c r="U792" s="1373"/>
      <c r="V792" s="1373"/>
      <c r="W792" s="1374"/>
      <c r="X792" s="1533"/>
      <c r="Y792" s="1534"/>
      <c r="Z792" s="1534"/>
      <c r="AA792" s="1534"/>
      <c r="AB792" s="1535"/>
      <c r="AC792" s="1533"/>
      <c r="AD792" s="1534"/>
      <c r="AE792" s="1534"/>
      <c r="AF792" s="1534"/>
      <c r="AG792" s="153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533"/>
      <c r="K793" s="1534"/>
      <c r="L793" s="1534"/>
      <c r="M793" s="1534"/>
      <c r="N793" s="1535"/>
      <c r="O793" s="1529"/>
      <c r="P793" s="1529"/>
      <c r="Q793" s="1529"/>
      <c r="R793" s="1529"/>
      <c r="S793" s="1529"/>
      <c r="T793" s="1372"/>
      <c r="U793" s="1373"/>
      <c r="V793" s="1373"/>
      <c r="W793" s="1374"/>
      <c r="X793" s="1533"/>
      <c r="Y793" s="1534"/>
      <c r="Z793" s="1534"/>
      <c r="AA793" s="1534"/>
      <c r="AB793" s="1535"/>
      <c r="AC793" s="1533"/>
      <c r="AD793" s="1534"/>
      <c r="AE793" s="1534"/>
      <c r="AF793" s="1534"/>
      <c r="AG793" s="153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536"/>
      <c r="K794" s="1537"/>
      <c r="L794" s="1537"/>
      <c r="M794" s="1537"/>
      <c r="N794" s="1538"/>
      <c r="O794" s="1529"/>
      <c r="P794" s="1529"/>
      <c r="Q794" s="1529"/>
      <c r="R794" s="1529"/>
      <c r="S794" s="1529"/>
      <c r="T794" s="1539"/>
      <c r="U794" s="1540"/>
      <c r="V794" s="1540"/>
      <c r="W794" s="1541"/>
      <c r="X794" s="1536"/>
      <c r="Y794" s="1537"/>
      <c r="Z794" s="1537"/>
      <c r="AA794" s="1537"/>
      <c r="AB794" s="1538"/>
      <c r="AC794" s="1536"/>
      <c r="AD794" s="1537"/>
      <c r="AE794" s="1537"/>
      <c r="AF794" s="1537"/>
      <c r="AG794" s="1538"/>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05"/>
      <c r="K795" s="1306"/>
      <c r="L795" s="1306"/>
      <c r="M795" s="1306"/>
      <c r="N795" s="1307"/>
      <c r="O795" s="1461"/>
      <c r="P795" s="1461"/>
      <c r="Q795" s="1461"/>
      <c r="R795" s="1461"/>
      <c r="S795" s="1461"/>
      <c r="T795" s="1524"/>
      <c r="U795" s="1525"/>
      <c r="V795" s="1525"/>
      <c r="W795" s="1526"/>
      <c r="X795" s="1320"/>
      <c r="Y795" s="1321"/>
      <c r="Z795" s="1321"/>
      <c r="AA795" s="1321"/>
      <c r="AB795" s="1322"/>
      <c r="AC795" s="1308">
        <f t="shared" ref="AC795:AC804" si="42">X795*O795</f>
        <v>0</v>
      </c>
      <c r="AD795" s="1309"/>
      <c r="AE795" s="1309"/>
      <c r="AF795" s="1309"/>
      <c r="AG795" s="131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82">
        <f t="shared" ref="CP795:CP804" si="43">IF(J795="SRO/Studio",O795,0)</f>
        <v>0</v>
      </c>
      <c r="CQ795" s="1283"/>
      <c r="CR795" s="1283"/>
      <c r="CS795" s="1283"/>
      <c r="CT795" s="1284"/>
      <c r="CU795" s="1282">
        <f t="shared" ref="CU795:CU804" si="44">IF(J795="1 Bedroom",O795,0)</f>
        <v>0</v>
      </c>
      <c r="CV795" s="1283"/>
      <c r="CW795" s="1283"/>
      <c r="CX795" s="1283"/>
      <c r="CY795" s="1284"/>
      <c r="CZ795" s="1282">
        <f t="shared" ref="CZ795:CZ804" si="45">IF(J795="2 Bedrooms",O795,0)</f>
        <v>0</v>
      </c>
      <c r="DA795" s="1283"/>
      <c r="DB795" s="1283"/>
      <c r="DC795" s="1283"/>
      <c r="DD795" s="1284"/>
      <c r="DE795" s="1282">
        <f t="shared" ref="DE795:DE804" si="46">IF(J795="3 Bedrooms",O795,0)</f>
        <v>0</v>
      </c>
      <c r="DF795" s="1283"/>
      <c r="DG795" s="1283"/>
      <c r="DH795" s="1283"/>
      <c r="DI795" s="1284"/>
      <c r="DJ795" s="1282">
        <f t="shared" ref="DJ795:DJ804" si="47">IF(J795="4 Bedrooms",O795,0)</f>
        <v>0</v>
      </c>
      <c r="DK795" s="1283"/>
      <c r="DL795" s="1283"/>
      <c r="DM795" s="1283"/>
      <c r="DN795" s="1284"/>
      <c r="DO795" s="1282">
        <f t="shared" ref="DO795:DO804" si="48">IF(J795="5 Bedrooms",O795,0)</f>
        <v>0</v>
      </c>
      <c r="DP795" s="1283"/>
      <c r="DQ795" s="1283"/>
      <c r="DR795" s="1283"/>
      <c r="DS795" s="1284"/>
      <c r="DT795" s="6"/>
      <c r="DU795" s="1282">
        <f t="shared" ref="DU795:DU804" si="49">IF(AND(CP795&gt;=1,AH795&gt;=0.1,AH795&lt;=1),O795,0)</f>
        <v>0</v>
      </c>
      <c r="DV795" s="1283"/>
      <c r="DW795" s="1283"/>
      <c r="DX795" s="1283"/>
      <c r="DY795" s="1284"/>
      <c r="DZ795" s="1282">
        <f t="shared" ref="DZ795:DZ804" si="50">IF(AND(CU795&gt;=1,AH795&gt;=0.1,AH795&lt;=1),O795,0)</f>
        <v>0</v>
      </c>
      <c r="EA795" s="1283"/>
      <c r="EB795" s="1283"/>
      <c r="EC795" s="1283"/>
      <c r="ED795" s="1284"/>
      <c r="EE795" s="1282">
        <f t="shared" ref="EE795:EE804" si="51">IF(AND(CZ795&gt;=1,AH795&gt;=0.1,AH795&lt;=1),O795,0)</f>
        <v>0</v>
      </c>
      <c r="EF795" s="1283"/>
      <c r="EG795" s="1283"/>
      <c r="EH795" s="1283"/>
      <c r="EI795" s="1284"/>
      <c r="EJ795" s="1282">
        <f t="shared" ref="EJ795:EJ804" si="52">IF(AND(DE795&gt;=1,AH795&gt;=0.1,AH795&lt;=1),O795,0)</f>
        <v>0</v>
      </c>
      <c r="EK795" s="1283"/>
      <c r="EL795" s="1283"/>
      <c r="EM795" s="1283"/>
      <c r="EN795" s="1284"/>
      <c r="EO795" s="1282">
        <f t="shared" ref="EO795:EO804" si="53">IF(AND(DJ795&gt;=1,AH795&gt;=0.1,AH795&lt;=1),O795,0)</f>
        <v>0</v>
      </c>
      <c r="EP795" s="1283"/>
      <c r="EQ795" s="1283"/>
      <c r="ER795" s="1283"/>
      <c r="ES795" s="1284"/>
      <c r="ET795" s="1282">
        <f t="shared" ref="ET795:ET804" si="54">IF(AND(DO795&gt;=1,AH795&gt;=0.1,AH795&lt;=1),O795,0)</f>
        <v>0</v>
      </c>
      <c r="EU795" s="1283"/>
      <c r="EV795" s="1283"/>
      <c r="EW795" s="1283"/>
      <c r="EX795" s="1284"/>
    </row>
    <row r="796" spans="1:154" s="14" customFormat="1" ht="12.95" customHeight="1">
      <c r="A796"/>
      <c r="B796"/>
      <c r="C796"/>
      <c r="D796"/>
      <c r="E796"/>
      <c r="F796"/>
      <c r="G796"/>
      <c r="H796"/>
      <c r="I796"/>
      <c r="J796" s="1305"/>
      <c r="K796" s="1306"/>
      <c r="L796" s="1306"/>
      <c r="M796" s="1306"/>
      <c r="N796" s="1307"/>
      <c r="O796" s="1461"/>
      <c r="P796" s="1461"/>
      <c r="Q796" s="1461"/>
      <c r="R796" s="1461"/>
      <c r="S796" s="1461"/>
      <c r="T796" s="1524"/>
      <c r="U796" s="1525"/>
      <c r="V796" s="1525"/>
      <c r="W796" s="1526"/>
      <c r="X796" s="1320"/>
      <c r="Y796" s="1321"/>
      <c r="Z796" s="1321"/>
      <c r="AA796" s="1321"/>
      <c r="AB796" s="1322"/>
      <c r="AC796" s="1308">
        <f t="shared" si="42"/>
        <v>0</v>
      </c>
      <c r="AD796" s="1309"/>
      <c r="AE796" s="1309"/>
      <c r="AF796" s="1309"/>
      <c r="AG796" s="1310"/>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82">
        <f t="shared" si="43"/>
        <v>0</v>
      </c>
      <c r="CQ796" s="1283"/>
      <c r="CR796" s="1283"/>
      <c r="CS796" s="1283"/>
      <c r="CT796" s="1284"/>
      <c r="CU796" s="1282">
        <f t="shared" si="44"/>
        <v>0</v>
      </c>
      <c r="CV796" s="1283"/>
      <c r="CW796" s="1283"/>
      <c r="CX796" s="1283"/>
      <c r="CY796" s="1284"/>
      <c r="CZ796" s="1282">
        <f t="shared" si="45"/>
        <v>0</v>
      </c>
      <c r="DA796" s="1283"/>
      <c r="DB796" s="1283"/>
      <c r="DC796" s="1283"/>
      <c r="DD796" s="1284"/>
      <c r="DE796" s="1282">
        <f t="shared" si="46"/>
        <v>0</v>
      </c>
      <c r="DF796" s="1283"/>
      <c r="DG796" s="1283"/>
      <c r="DH796" s="1283"/>
      <c r="DI796" s="1284"/>
      <c r="DJ796" s="1282">
        <f t="shared" si="47"/>
        <v>0</v>
      </c>
      <c r="DK796" s="1283"/>
      <c r="DL796" s="1283"/>
      <c r="DM796" s="1283"/>
      <c r="DN796" s="1284"/>
      <c r="DO796" s="1282">
        <f t="shared" si="48"/>
        <v>0</v>
      </c>
      <c r="DP796" s="1283"/>
      <c r="DQ796" s="1283"/>
      <c r="DR796" s="1283"/>
      <c r="DS796" s="1284"/>
      <c r="DT796" s="6"/>
      <c r="DU796" s="1282">
        <f t="shared" si="49"/>
        <v>0</v>
      </c>
      <c r="DV796" s="1283"/>
      <c r="DW796" s="1283"/>
      <c r="DX796" s="1283"/>
      <c r="DY796" s="1284"/>
      <c r="DZ796" s="1282">
        <f t="shared" si="50"/>
        <v>0</v>
      </c>
      <c r="EA796" s="1283"/>
      <c r="EB796" s="1283"/>
      <c r="EC796" s="1283"/>
      <c r="ED796" s="1284"/>
      <c r="EE796" s="1282">
        <f t="shared" si="51"/>
        <v>0</v>
      </c>
      <c r="EF796" s="1283"/>
      <c r="EG796" s="1283"/>
      <c r="EH796" s="1283"/>
      <c r="EI796" s="1284"/>
      <c r="EJ796" s="1282">
        <f t="shared" si="52"/>
        <v>0</v>
      </c>
      <c r="EK796" s="1283"/>
      <c r="EL796" s="1283"/>
      <c r="EM796" s="1283"/>
      <c r="EN796" s="1284"/>
      <c r="EO796" s="1282">
        <f t="shared" si="53"/>
        <v>0</v>
      </c>
      <c r="EP796" s="1283"/>
      <c r="EQ796" s="1283"/>
      <c r="ER796" s="1283"/>
      <c r="ES796" s="1284"/>
      <c r="ET796" s="1282">
        <f t="shared" si="54"/>
        <v>0</v>
      </c>
      <c r="EU796" s="1283"/>
      <c r="EV796" s="1283"/>
      <c r="EW796" s="1283"/>
      <c r="EX796" s="1284"/>
    </row>
    <row r="797" spans="1:154" s="14" customFormat="1" ht="12.95" customHeight="1">
      <c r="A797"/>
      <c r="B797"/>
      <c r="C797"/>
      <c r="D797"/>
      <c r="E797"/>
      <c r="F797"/>
      <c r="G797"/>
      <c r="H797"/>
      <c r="I797"/>
      <c r="J797" s="1305"/>
      <c r="K797" s="1306"/>
      <c r="L797" s="1306"/>
      <c r="M797" s="1306"/>
      <c r="N797" s="1307"/>
      <c r="O797" s="1461"/>
      <c r="P797" s="1461"/>
      <c r="Q797" s="1461"/>
      <c r="R797" s="1461"/>
      <c r="S797" s="1461"/>
      <c r="T797" s="1524"/>
      <c r="U797" s="1525"/>
      <c r="V797" s="1525"/>
      <c r="W797" s="1526"/>
      <c r="X797" s="1320"/>
      <c r="Y797" s="1321"/>
      <c r="Z797" s="1321"/>
      <c r="AA797" s="1321"/>
      <c r="AB797" s="1322"/>
      <c r="AC797" s="1308">
        <f t="shared" si="42"/>
        <v>0</v>
      </c>
      <c r="AD797" s="1309"/>
      <c r="AE797" s="1309"/>
      <c r="AF797" s="1309"/>
      <c r="AG797" s="1310"/>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82">
        <f t="shared" si="43"/>
        <v>0</v>
      </c>
      <c r="CQ797" s="1283"/>
      <c r="CR797" s="1283"/>
      <c r="CS797" s="1283"/>
      <c r="CT797" s="1284"/>
      <c r="CU797" s="1282">
        <f t="shared" si="44"/>
        <v>0</v>
      </c>
      <c r="CV797" s="1283"/>
      <c r="CW797" s="1283"/>
      <c r="CX797" s="1283"/>
      <c r="CY797" s="1284"/>
      <c r="CZ797" s="1282">
        <f t="shared" si="45"/>
        <v>0</v>
      </c>
      <c r="DA797" s="1283"/>
      <c r="DB797" s="1283"/>
      <c r="DC797" s="1283"/>
      <c r="DD797" s="1284"/>
      <c r="DE797" s="1282">
        <f t="shared" si="46"/>
        <v>0</v>
      </c>
      <c r="DF797" s="1283"/>
      <c r="DG797" s="1283"/>
      <c r="DH797" s="1283"/>
      <c r="DI797" s="1284"/>
      <c r="DJ797" s="1282">
        <f t="shared" si="47"/>
        <v>0</v>
      </c>
      <c r="DK797" s="1283"/>
      <c r="DL797" s="1283"/>
      <c r="DM797" s="1283"/>
      <c r="DN797" s="1284"/>
      <c r="DO797" s="1282">
        <f t="shared" si="48"/>
        <v>0</v>
      </c>
      <c r="DP797" s="1283"/>
      <c r="DQ797" s="1283"/>
      <c r="DR797" s="1283"/>
      <c r="DS797" s="1284"/>
      <c r="DT797" s="6"/>
      <c r="DU797" s="1282">
        <f t="shared" si="49"/>
        <v>0</v>
      </c>
      <c r="DV797" s="1283"/>
      <c r="DW797" s="1283"/>
      <c r="DX797" s="1283"/>
      <c r="DY797" s="1284"/>
      <c r="DZ797" s="1282">
        <f t="shared" si="50"/>
        <v>0</v>
      </c>
      <c r="EA797" s="1283"/>
      <c r="EB797" s="1283"/>
      <c r="EC797" s="1283"/>
      <c r="ED797" s="1284"/>
      <c r="EE797" s="1282">
        <f t="shared" si="51"/>
        <v>0</v>
      </c>
      <c r="EF797" s="1283"/>
      <c r="EG797" s="1283"/>
      <c r="EH797" s="1283"/>
      <c r="EI797" s="1284"/>
      <c r="EJ797" s="1282">
        <f t="shared" si="52"/>
        <v>0</v>
      </c>
      <c r="EK797" s="1283"/>
      <c r="EL797" s="1283"/>
      <c r="EM797" s="1283"/>
      <c r="EN797" s="1284"/>
      <c r="EO797" s="1282">
        <f t="shared" si="53"/>
        <v>0</v>
      </c>
      <c r="EP797" s="1283"/>
      <c r="EQ797" s="1283"/>
      <c r="ER797" s="1283"/>
      <c r="ES797" s="1284"/>
      <c r="ET797" s="1282">
        <f t="shared" si="54"/>
        <v>0</v>
      </c>
      <c r="EU797" s="1283"/>
      <c r="EV797" s="1283"/>
      <c r="EW797" s="1283"/>
      <c r="EX797" s="1284"/>
    </row>
    <row r="798" spans="1:154" s="14" customFormat="1" ht="12.95" customHeight="1">
      <c r="A798"/>
      <c r="B798"/>
      <c r="C798"/>
      <c r="D798"/>
      <c r="E798"/>
      <c r="F798"/>
      <c r="G798"/>
      <c r="H798"/>
      <c r="I798"/>
      <c r="J798" s="1305"/>
      <c r="K798" s="1306"/>
      <c r="L798" s="1306"/>
      <c r="M798" s="1306"/>
      <c r="N798" s="1307"/>
      <c r="O798" s="1461"/>
      <c r="P798" s="1461"/>
      <c r="Q798" s="1461"/>
      <c r="R798" s="1461"/>
      <c r="S798" s="1461"/>
      <c r="T798" s="1524"/>
      <c r="U798" s="1525"/>
      <c r="V798" s="1525"/>
      <c r="W798" s="1526"/>
      <c r="X798" s="1320"/>
      <c r="Y798" s="1321"/>
      <c r="Z798" s="1321"/>
      <c r="AA798" s="1321"/>
      <c r="AB798" s="1322"/>
      <c r="AC798" s="1308">
        <f t="shared" si="42"/>
        <v>0</v>
      </c>
      <c r="AD798" s="1309"/>
      <c r="AE798" s="1309"/>
      <c r="AF798" s="1309"/>
      <c r="AG798" s="1310"/>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82">
        <f t="shared" si="43"/>
        <v>0</v>
      </c>
      <c r="CQ798" s="1283"/>
      <c r="CR798" s="1283"/>
      <c r="CS798" s="1283"/>
      <c r="CT798" s="1284"/>
      <c r="CU798" s="1282">
        <f t="shared" si="44"/>
        <v>0</v>
      </c>
      <c r="CV798" s="1283"/>
      <c r="CW798" s="1283"/>
      <c r="CX798" s="1283"/>
      <c r="CY798" s="1284"/>
      <c r="CZ798" s="1282">
        <f t="shared" si="45"/>
        <v>0</v>
      </c>
      <c r="DA798" s="1283"/>
      <c r="DB798" s="1283"/>
      <c r="DC798" s="1283"/>
      <c r="DD798" s="1284"/>
      <c r="DE798" s="1282">
        <f t="shared" si="46"/>
        <v>0</v>
      </c>
      <c r="DF798" s="1283"/>
      <c r="DG798" s="1283"/>
      <c r="DH798" s="1283"/>
      <c r="DI798" s="1284"/>
      <c r="DJ798" s="1282">
        <f t="shared" si="47"/>
        <v>0</v>
      </c>
      <c r="DK798" s="1283"/>
      <c r="DL798" s="1283"/>
      <c r="DM798" s="1283"/>
      <c r="DN798" s="1284"/>
      <c r="DO798" s="1282">
        <f t="shared" si="48"/>
        <v>0</v>
      </c>
      <c r="DP798" s="1283"/>
      <c r="DQ798" s="1283"/>
      <c r="DR798" s="1283"/>
      <c r="DS798" s="1284"/>
      <c r="DT798" s="6"/>
      <c r="DU798" s="1282">
        <f t="shared" si="49"/>
        <v>0</v>
      </c>
      <c r="DV798" s="1283"/>
      <c r="DW798" s="1283"/>
      <c r="DX798" s="1283"/>
      <c r="DY798" s="1284"/>
      <c r="DZ798" s="1282">
        <f t="shared" si="50"/>
        <v>0</v>
      </c>
      <c r="EA798" s="1283"/>
      <c r="EB798" s="1283"/>
      <c r="EC798" s="1283"/>
      <c r="ED798" s="1284"/>
      <c r="EE798" s="1282">
        <f t="shared" si="51"/>
        <v>0</v>
      </c>
      <c r="EF798" s="1283"/>
      <c r="EG798" s="1283"/>
      <c r="EH798" s="1283"/>
      <c r="EI798" s="1284"/>
      <c r="EJ798" s="1282">
        <f t="shared" si="52"/>
        <v>0</v>
      </c>
      <c r="EK798" s="1283"/>
      <c r="EL798" s="1283"/>
      <c r="EM798" s="1283"/>
      <c r="EN798" s="1284"/>
      <c r="EO798" s="1282">
        <f t="shared" si="53"/>
        <v>0</v>
      </c>
      <c r="EP798" s="1283"/>
      <c r="EQ798" s="1283"/>
      <c r="ER798" s="1283"/>
      <c r="ES798" s="1284"/>
      <c r="ET798" s="1282">
        <f t="shared" si="54"/>
        <v>0</v>
      </c>
      <c r="EU798" s="1283"/>
      <c r="EV798" s="1283"/>
      <c r="EW798" s="1283"/>
      <c r="EX798" s="1284"/>
    </row>
    <row r="799" spans="1:154" s="14" customFormat="1" ht="12.95" customHeight="1">
      <c r="A799"/>
      <c r="B799"/>
      <c r="C799"/>
      <c r="D799"/>
      <c r="E799"/>
      <c r="F799"/>
      <c r="G799"/>
      <c r="H799"/>
      <c r="I799"/>
      <c r="J799" s="1305"/>
      <c r="K799" s="1306"/>
      <c r="L799" s="1306"/>
      <c r="M799" s="1306"/>
      <c r="N799" s="1307"/>
      <c r="O799" s="1461"/>
      <c r="P799" s="1461"/>
      <c r="Q799" s="1461"/>
      <c r="R799" s="1461"/>
      <c r="S799" s="1461"/>
      <c r="T799" s="1524"/>
      <c r="U799" s="1525"/>
      <c r="V799" s="1525"/>
      <c r="W799" s="1526"/>
      <c r="X799" s="1320"/>
      <c r="Y799" s="1321"/>
      <c r="Z799" s="1321"/>
      <c r="AA799" s="1321"/>
      <c r="AB799" s="1322"/>
      <c r="AC799" s="1308">
        <f t="shared" si="42"/>
        <v>0</v>
      </c>
      <c r="AD799" s="1309"/>
      <c r="AE799" s="1309"/>
      <c r="AF799" s="1309"/>
      <c r="AG799" s="1310"/>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82">
        <f t="shared" si="43"/>
        <v>0</v>
      </c>
      <c r="CQ799" s="1283"/>
      <c r="CR799" s="1283"/>
      <c r="CS799" s="1283"/>
      <c r="CT799" s="1284"/>
      <c r="CU799" s="1282">
        <f t="shared" si="44"/>
        <v>0</v>
      </c>
      <c r="CV799" s="1283"/>
      <c r="CW799" s="1283"/>
      <c r="CX799" s="1283"/>
      <c r="CY799" s="1284"/>
      <c r="CZ799" s="1282">
        <f t="shared" si="45"/>
        <v>0</v>
      </c>
      <c r="DA799" s="1283"/>
      <c r="DB799" s="1283"/>
      <c r="DC799" s="1283"/>
      <c r="DD799" s="1284"/>
      <c r="DE799" s="1282">
        <f t="shared" si="46"/>
        <v>0</v>
      </c>
      <c r="DF799" s="1283"/>
      <c r="DG799" s="1283"/>
      <c r="DH799" s="1283"/>
      <c r="DI799" s="1284"/>
      <c r="DJ799" s="1282">
        <f t="shared" si="47"/>
        <v>0</v>
      </c>
      <c r="DK799" s="1283"/>
      <c r="DL799" s="1283"/>
      <c r="DM799" s="1283"/>
      <c r="DN799" s="1284"/>
      <c r="DO799" s="1282">
        <f t="shared" si="48"/>
        <v>0</v>
      </c>
      <c r="DP799" s="1283"/>
      <c r="DQ799" s="1283"/>
      <c r="DR799" s="1283"/>
      <c r="DS799" s="1284"/>
      <c r="DT799" s="6"/>
      <c r="DU799" s="1282">
        <f t="shared" si="49"/>
        <v>0</v>
      </c>
      <c r="DV799" s="1283"/>
      <c r="DW799" s="1283"/>
      <c r="DX799" s="1283"/>
      <c r="DY799" s="1284"/>
      <c r="DZ799" s="1282">
        <f t="shared" si="50"/>
        <v>0</v>
      </c>
      <c r="EA799" s="1283"/>
      <c r="EB799" s="1283"/>
      <c r="EC799" s="1283"/>
      <c r="ED799" s="1284"/>
      <c r="EE799" s="1282">
        <f t="shared" si="51"/>
        <v>0</v>
      </c>
      <c r="EF799" s="1283"/>
      <c r="EG799" s="1283"/>
      <c r="EH799" s="1283"/>
      <c r="EI799" s="1284"/>
      <c r="EJ799" s="1282">
        <f t="shared" si="52"/>
        <v>0</v>
      </c>
      <c r="EK799" s="1283"/>
      <c r="EL799" s="1283"/>
      <c r="EM799" s="1283"/>
      <c r="EN799" s="1284"/>
      <c r="EO799" s="1282">
        <f t="shared" si="53"/>
        <v>0</v>
      </c>
      <c r="EP799" s="1283"/>
      <c r="EQ799" s="1283"/>
      <c r="ER799" s="1283"/>
      <c r="ES799" s="1284"/>
      <c r="ET799" s="1282">
        <f t="shared" si="54"/>
        <v>0</v>
      </c>
      <c r="EU799" s="1283"/>
      <c r="EV799" s="1283"/>
      <c r="EW799" s="1283"/>
      <c r="EX799" s="1284"/>
    </row>
    <row r="800" spans="1:154" s="14" customFormat="1" ht="12.95" customHeight="1">
      <c r="A800"/>
      <c r="B800"/>
      <c r="C800"/>
      <c r="D800"/>
      <c r="E800"/>
      <c r="F800"/>
      <c r="G800"/>
      <c r="H800"/>
      <c r="I800"/>
      <c r="J800" s="1305"/>
      <c r="K800" s="1306"/>
      <c r="L800" s="1306"/>
      <c r="M800" s="1306"/>
      <c r="N800" s="1307"/>
      <c r="O800" s="1461"/>
      <c r="P800" s="1461"/>
      <c r="Q800" s="1461"/>
      <c r="R800" s="1461"/>
      <c r="S800" s="1461"/>
      <c r="T800" s="1524"/>
      <c r="U800" s="1525"/>
      <c r="V800" s="1525"/>
      <c r="W800" s="1526"/>
      <c r="X800" s="1320"/>
      <c r="Y800" s="1321"/>
      <c r="Z800" s="1321"/>
      <c r="AA800" s="1321"/>
      <c r="AB800" s="1322"/>
      <c r="AC800" s="1308">
        <f t="shared" si="42"/>
        <v>0</v>
      </c>
      <c r="AD800" s="1309"/>
      <c r="AE800" s="1309"/>
      <c r="AF800" s="1309"/>
      <c r="AG800" s="1310"/>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82">
        <f t="shared" si="43"/>
        <v>0</v>
      </c>
      <c r="CQ800" s="1283"/>
      <c r="CR800" s="1283"/>
      <c r="CS800" s="1283"/>
      <c r="CT800" s="1284"/>
      <c r="CU800" s="1282">
        <f t="shared" si="44"/>
        <v>0</v>
      </c>
      <c r="CV800" s="1283"/>
      <c r="CW800" s="1283"/>
      <c r="CX800" s="1283"/>
      <c r="CY800" s="1284"/>
      <c r="CZ800" s="1282">
        <f t="shared" si="45"/>
        <v>0</v>
      </c>
      <c r="DA800" s="1283"/>
      <c r="DB800" s="1283"/>
      <c r="DC800" s="1283"/>
      <c r="DD800" s="1284"/>
      <c r="DE800" s="1282">
        <f t="shared" si="46"/>
        <v>0</v>
      </c>
      <c r="DF800" s="1283"/>
      <c r="DG800" s="1283"/>
      <c r="DH800" s="1283"/>
      <c r="DI800" s="1284"/>
      <c r="DJ800" s="1282">
        <f t="shared" si="47"/>
        <v>0</v>
      </c>
      <c r="DK800" s="1283"/>
      <c r="DL800" s="1283"/>
      <c r="DM800" s="1283"/>
      <c r="DN800" s="1284"/>
      <c r="DO800" s="1282">
        <f t="shared" si="48"/>
        <v>0</v>
      </c>
      <c r="DP800" s="1283"/>
      <c r="DQ800" s="1283"/>
      <c r="DR800" s="1283"/>
      <c r="DS800" s="1284"/>
      <c r="DT800" s="6"/>
      <c r="DU800" s="1282">
        <f t="shared" si="49"/>
        <v>0</v>
      </c>
      <c r="DV800" s="1283"/>
      <c r="DW800" s="1283"/>
      <c r="DX800" s="1283"/>
      <c r="DY800" s="1284"/>
      <c r="DZ800" s="1282">
        <f t="shared" si="50"/>
        <v>0</v>
      </c>
      <c r="EA800" s="1283"/>
      <c r="EB800" s="1283"/>
      <c r="EC800" s="1283"/>
      <c r="ED800" s="1284"/>
      <c r="EE800" s="1282">
        <f t="shared" si="51"/>
        <v>0</v>
      </c>
      <c r="EF800" s="1283"/>
      <c r="EG800" s="1283"/>
      <c r="EH800" s="1283"/>
      <c r="EI800" s="1284"/>
      <c r="EJ800" s="1282">
        <f t="shared" si="52"/>
        <v>0</v>
      </c>
      <c r="EK800" s="1283"/>
      <c r="EL800" s="1283"/>
      <c r="EM800" s="1283"/>
      <c r="EN800" s="1284"/>
      <c r="EO800" s="1282">
        <f t="shared" si="53"/>
        <v>0</v>
      </c>
      <c r="EP800" s="1283"/>
      <c r="EQ800" s="1283"/>
      <c r="ER800" s="1283"/>
      <c r="ES800" s="1284"/>
      <c r="ET800" s="1282">
        <f t="shared" si="54"/>
        <v>0</v>
      </c>
      <c r="EU800" s="1283"/>
      <c r="EV800" s="1283"/>
      <c r="EW800" s="1283"/>
      <c r="EX800" s="1284"/>
    </row>
    <row r="801" spans="1:154" s="14" customFormat="1" ht="12.95" customHeight="1">
      <c r="A801"/>
      <c r="B801"/>
      <c r="C801"/>
      <c r="D801"/>
      <c r="E801"/>
      <c r="F801"/>
      <c r="G801"/>
      <c r="H801"/>
      <c r="I801"/>
      <c r="J801" s="1305"/>
      <c r="K801" s="1306"/>
      <c r="L801" s="1306"/>
      <c r="M801" s="1306"/>
      <c r="N801" s="1307"/>
      <c r="O801" s="1461"/>
      <c r="P801" s="1461"/>
      <c r="Q801" s="1461"/>
      <c r="R801" s="1461"/>
      <c r="S801" s="1461"/>
      <c r="T801" s="1524"/>
      <c r="U801" s="1525"/>
      <c r="V801" s="1525"/>
      <c r="W801" s="1526"/>
      <c r="X801" s="1320"/>
      <c r="Y801" s="1321"/>
      <c r="Z801" s="1321"/>
      <c r="AA801" s="1321"/>
      <c r="AB801" s="1322"/>
      <c r="AC801" s="1308">
        <f t="shared" si="42"/>
        <v>0</v>
      </c>
      <c r="AD801" s="1309"/>
      <c r="AE801" s="1309"/>
      <c r="AF801" s="1309"/>
      <c r="AG801" s="1310"/>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82">
        <f t="shared" si="43"/>
        <v>0</v>
      </c>
      <c r="CQ801" s="1283"/>
      <c r="CR801" s="1283"/>
      <c r="CS801" s="1283"/>
      <c r="CT801" s="1284"/>
      <c r="CU801" s="1282">
        <f t="shared" si="44"/>
        <v>0</v>
      </c>
      <c r="CV801" s="1283"/>
      <c r="CW801" s="1283"/>
      <c r="CX801" s="1283"/>
      <c r="CY801" s="1284"/>
      <c r="CZ801" s="1282">
        <f t="shared" si="45"/>
        <v>0</v>
      </c>
      <c r="DA801" s="1283"/>
      <c r="DB801" s="1283"/>
      <c r="DC801" s="1283"/>
      <c r="DD801" s="1284"/>
      <c r="DE801" s="1282">
        <f t="shared" si="46"/>
        <v>0</v>
      </c>
      <c r="DF801" s="1283"/>
      <c r="DG801" s="1283"/>
      <c r="DH801" s="1283"/>
      <c r="DI801" s="1284"/>
      <c r="DJ801" s="1282">
        <f t="shared" si="47"/>
        <v>0</v>
      </c>
      <c r="DK801" s="1283"/>
      <c r="DL801" s="1283"/>
      <c r="DM801" s="1283"/>
      <c r="DN801" s="1284"/>
      <c r="DO801" s="1282">
        <f t="shared" si="48"/>
        <v>0</v>
      </c>
      <c r="DP801" s="1283"/>
      <c r="DQ801" s="1283"/>
      <c r="DR801" s="1283"/>
      <c r="DS801" s="1284"/>
      <c r="DT801" s="6"/>
      <c r="DU801" s="1282">
        <f t="shared" si="49"/>
        <v>0</v>
      </c>
      <c r="DV801" s="1283"/>
      <c r="DW801" s="1283"/>
      <c r="DX801" s="1283"/>
      <c r="DY801" s="1284"/>
      <c r="DZ801" s="1282">
        <f t="shared" si="50"/>
        <v>0</v>
      </c>
      <c r="EA801" s="1283"/>
      <c r="EB801" s="1283"/>
      <c r="EC801" s="1283"/>
      <c r="ED801" s="1284"/>
      <c r="EE801" s="1282">
        <f t="shared" si="51"/>
        <v>0</v>
      </c>
      <c r="EF801" s="1283"/>
      <c r="EG801" s="1283"/>
      <c r="EH801" s="1283"/>
      <c r="EI801" s="1284"/>
      <c r="EJ801" s="1282">
        <f t="shared" si="52"/>
        <v>0</v>
      </c>
      <c r="EK801" s="1283"/>
      <c r="EL801" s="1283"/>
      <c r="EM801" s="1283"/>
      <c r="EN801" s="1284"/>
      <c r="EO801" s="1282">
        <f t="shared" si="53"/>
        <v>0</v>
      </c>
      <c r="EP801" s="1283"/>
      <c r="EQ801" s="1283"/>
      <c r="ER801" s="1283"/>
      <c r="ES801" s="1284"/>
      <c r="ET801" s="1282">
        <f t="shared" si="54"/>
        <v>0</v>
      </c>
      <c r="EU801" s="1283"/>
      <c r="EV801" s="1283"/>
      <c r="EW801" s="1283"/>
      <c r="EX801" s="1284"/>
    </row>
    <row r="802" spans="1:154" s="14" customFormat="1" ht="12.95" customHeight="1">
      <c r="A802"/>
      <c r="B802"/>
      <c r="C802"/>
      <c r="D802"/>
      <c r="E802"/>
      <c r="F802"/>
      <c r="G802"/>
      <c r="H802"/>
      <c r="I802"/>
      <c r="J802" s="1305"/>
      <c r="K802" s="1306"/>
      <c r="L802" s="1306"/>
      <c r="M802" s="1306"/>
      <c r="N802" s="1307"/>
      <c r="O802" s="1461"/>
      <c r="P802" s="1461"/>
      <c r="Q802" s="1461"/>
      <c r="R802" s="1461"/>
      <c r="S802" s="1461"/>
      <c r="T802" s="1524"/>
      <c r="U802" s="1525"/>
      <c r="V802" s="1525"/>
      <c r="W802" s="1526"/>
      <c r="X802" s="1320"/>
      <c r="Y802" s="1321"/>
      <c r="Z802" s="1321"/>
      <c r="AA802" s="1321"/>
      <c r="AB802" s="1322"/>
      <c r="AC802" s="1308">
        <f t="shared" si="42"/>
        <v>0</v>
      </c>
      <c r="AD802" s="1309"/>
      <c r="AE802" s="1309"/>
      <c r="AF802" s="1309"/>
      <c r="AG802" s="1310"/>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82">
        <f t="shared" si="43"/>
        <v>0</v>
      </c>
      <c r="CQ802" s="1283"/>
      <c r="CR802" s="1283"/>
      <c r="CS802" s="1283"/>
      <c r="CT802" s="1284"/>
      <c r="CU802" s="1282">
        <f t="shared" si="44"/>
        <v>0</v>
      </c>
      <c r="CV802" s="1283"/>
      <c r="CW802" s="1283"/>
      <c r="CX802" s="1283"/>
      <c r="CY802" s="1284"/>
      <c r="CZ802" s="1282">
        <f t="shared" si="45"/>
        <v>0</v>
      </c>
      <c r="DA802" s="1283"/>
      <c r="DB802" s="1283"/>
      <c r="DC802" s="1283"/>
      <c r="DD802" s="1284"/>
      <c r="DE802" s="1282">
        <f t="shared" si="46"/>
        <v>0</v>
      </c>
      <c r="DF802" s="1283"/>
      <c r="DG802" s="1283"/>
      <c r="DH802" s="1283"/>
      <c r="DI802" s="1284"/>
      <c r="DJ802" s="1282">
        <f t="shared" si="47"/>
        <v>0</v>
      </c>
      <c r="DK802" s="1283"/>
      <c r="DL802" s="1283"/>
      <c r="DM802" s="1283"/>
      <c r="DN802" s="1284"/>
      <c r="DO802" s="1282">
        <f t="shared" si="48"/>
        <v>0</v>
      </c>
      <c r="DP802" s="1283"/>
      <c r="DQ802" s="1283"/>
      <c r="DR802" s="1283"/>
      <c r="DS802" s="1284"/>
      <c r="DT802" s="6"/>
      <c r="DU802" s="1282">
        <f t="shared" si="49"/>
        <v>0</v>
      </c>
      <c r="DV802" s="1283"/>
      <c r="DW802" s="1283"/>
      <c r="DX802" s="1283"/>
      <c r="DY802" s="1284"/>
      <c r="DZ802" s="1282">
        <f t="shared" si="50"/>
        <v>0</v>
      </c>
      <c r="EA802" s="1283"/>
      <c r="EB802" s="1283"/>
      <c r="EC802" s="1283"/>
      <c r="ED802" s="1284"/>
      <c r="EE802" s="1282">
        <f t="shared" si="51"/>
        <v>0</v>
      </c>
      <c r="EF802" s="1283"/>
      <c r="EG802" s="1283"/>
      <c r="EH802" s="1283"/>
      <c r="EI802" s="1284"/>
      <c r="EJ802" s="1282">
        <f t="shared" si="52"/>
        <v>0</v>
      </c>
      <c r="EK802" s="1283"/>
      <c r="EL802" s="1283"/>
      <c r="EM802" s="1283"/>
      <c r="EN802" s="1284"/>
      <c r="EO802" s="1282">
        <f t="shared" si="53"/>
        <v>0</v>
      </c>
      <c r="EP802" s="1283"/>
      <c r="EQ802" s="1283"/>
      <c r="ER802" s="1283"/>
      <c r="ES802" s="1284"/>
      <c r="ET802" s="1282">
        <f t="shared" si="54"/>
        <v>0</v>
      </c>
      <c r="EU802" s="1283"/>
      <c r="EV802" s="1283"/>
      <c r="EW802" s="1283"/>
      <c r="EX802" s="1284"/>
    </row>
    <row r="803" spans="1:154" s="14" customFormat="1" ht="12.95" customHeight="1">
      <c r="A803"/>
      <c r="B803"/>
      <c r="C803"/>
      <c r="D803"/>
      <c r="E803"/>
      <c r="F803"/>
      <c r="G803"/>
      <c r="H803"/>
      <c r="I803"/>
      <c r="J803" s="1305"/>
      <c r="K803" s="1306"/>
      <c r="L803" s="1306"/>
      <c r="M803" s="1306"/>
      <c r="N803" s="1307"/>
      <c r="O803" s="1461"/>
      <c r="P803" s="1461"/>
      <c r="Q803" s="1461"/>
      <c r="R803" s="1461"/>
      <c r="S803" s="1461"/>
      <c r="T803" s="1524"/>
      <c r="U803" s="1525"/>
      <c r="V803" s="1525"/>
      <c r="W803" s="1526"/>
      <c r="X803" s="1320"/>
      <c r="Y803" s="1321"/>
      <c r="Z803" s="1321"/>
      <c r="AA803" s="1321"/>
      <c r="AB803" s="1322"/>
      <c r="AC803" s="1308">
        <f t="shared" si="42"/>
        <v>0</v>
      </c>
      <c r="AD803" s="1309"/>
      <c r="AE803" s="1309"/>
      <c r="AF803" s="1309"/>
      <c r="AG803" s="1310"/>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82">
        <f t="shared" si="43"/>
        <v>0</v>
      </c>
      <c r="CQ803" s="1283"/>
      <c r="CR803" s="1283"/>
      <c r="CS803" s="1283"/>
      <c r="CT803" s="1284"/>
      <c r="CU803" s="1282">
        <f t="shared" si="44"/>
        <v>0</v>
      </c>
      <c r="CV803" s="1283"/>
      <c r="CW803" s="1283"/>
      <c r="CX803" s="1283"/>
      <c r="CY803" s="1284"/>
      <c r="CZ803" s="1282">
        <f t="shared" si="45"/>
        <v>0</v>
      </c>
      <c r="DA803" s="1283"/>
      <c r="DB803" s="1283"/>
      <c r="DC803" s="1283"/>
      <c r="DD803" s="1284"/>
      <c r="DE803" s="1282">
        <f t="shared" si="46"/>
        <v>0</v>
      </c>
      <c r="DF803" s="1283"/>
      <c r="DG803" s="1283"/>
      <c r="DH803" s="1283"/>
      <c r="DI803" s="1284"/>
      <c r="DJ803" s="1282">
        <f t="shared" si="47"/>
        <v>0</v>
      </c>
      <c r="DK803" s="1283"/>
      <c r="DL803" s="1283"/>
      <c r="DM803" s="1283"/>
      <c r="DN803" s="1284"/>
      <c r="DO803" s="1282">
        <f t="shared" si="48"/>
        <v>0</v>
      </c>
      <c r="DP803" s="1283"/>
      <c r="DQ803" s="1283"/>
      <c r="DR803" s="1283"/>
      <c r="DS803" s="1284"/>
      <c r="DT803" s="6"/>
      <c r="DU803" s="1282">
        <f t="shared" si="49"/>
        <v>0</v>
      </c>
      <c r="DV803" s="1283"/>
      <c r="DW803" s="1283"/>
      <c r="DX803" s="1283"/>
      <c r="DY803" s="1284"/>
      <c r="DZ803" s="1282">
        <f t="shared" si="50"/>
        <v>0</v>
      </c>
      <c r="EA803" s="1283"/>
      <c r="EB803" s="1283"/>
      <c r="EC803" s="1283"/>
      <c r="ED803" s="1284"/>
      <c r="EE803" s="1282">
        <f t="shared" si="51"/>
        <v>0</v>
      </c>
      <c r="EF803" s="1283"/>
      <c r="EG803" s="1283"/>
      <c r="EH803" s="1283"/>
      <c r="EI803" s="1284"/>
      <c r="EJ803" s="1282">
        <f t="shared" si="52"/>
        <v>0</v>
      </c>
      <c r="EK803" s="1283"/>
      <c r="EL803" s="1283"/>
      <c r="EM803" s="1283"/>
      <c r="EN803" s="1284"/>
      <c r="EO803" s="1282">
        <f t="shared" si="53"/>
        <v>0</v>
      </c>
      <c r="EP803" s="1283"/>
      <c r="EQ803" s="1283"/>
      <c r="ER803" s="1283"/>
      <c r="ES803" s="1284"/>
      <c r="ET803" s="1282">
        <f t="shared" si="54"/>
        <v>0</v>
      </c>
      <c r="EU803" s="1283"/>
      <c r="EV803" s="1283"/>
      <c r="EW803" s="1283"/>
      <c r="EX803" s="1284"/>
    </row>
    <row r="804" spans="1:154" s="4" customFormat="1" ht="12.95" customHeight="1">
      <c r="A804"/>
      <c r="B804"/>
      <c r="C804"/>
      <c r="D804"/>
      <c r="E804"/>
      <c r="F804"/>
      <c r="G804"/>
      <c r="H804"/>
      <c r="I804"/>
      <c r="J804" s="1305"/>
      <c r="K804" s="1306"/>
      <c r="L804" s="1306"/>
      <c r="M804" s="1306"/>
      <c r="N804" s="1307"/>
      <c r="O804" s="1461"/>
      <c r="P804" s="1461"/>
      <c r="Q804" s="1461"/>
      <c r="R804" s="1461"/>
      <c r="S804" s="1461"/>
      <c r="T804" s="1524"/>
      <c r="U804" s="1525"/>
      <c r="V804" s="1525"/>
      <c r="W804" s="1526"/>
      <c r="X804" s="1320"/>
      <c r="Y804" s="1321"/>
      <c r="Z804" s="1321"/>
      <c r="AA804" s="1321"/>
      <c r="AB804" s="1322"/>
      <c r="AC804" s="1308">
        <f t="shared" si="42"/>
        <v>0</v>
      </c>
      <c r="AD804" s="1309"/>
      <c r="AE804" s="1309"/>
      <c r="AF804" s="1309"/>
      <c r="AG804" s="1310"/>
      <c r="AH804"/>
      <c r="AI804"/>
      <c r="AJ804"/>
      <c r="AK804"/>
      <c r="AL804"/>
      <c r="AM804"/>
      <c r="AN804"/>
      <c r="AO804"/>
      <c r="AP804"/>
      <c r="AQ804"/>
      <c r="AR804"/>
      <c r="AS804"/>
      <c r="AT804"/>
      <c r="AU804"/>
      <c r="AV804"/>
      <c r="AW804"/>
      <c r="AX804"/>
      <c r="AY804"/>
      <c r="AZ804" s="3"/>
      <c r="CP804" s="1282">
        <f t="shared" si="43"/>
        <v>0</v>
      </c>
      <c r="CQ804" s="1283"/>
      <c r="CR804" s="1283"/>
      <c r="CS804" s="1283"/>
      <c r="CT804" s="1284"/>
      <c r="CU804" s="1282">
        <f t="shared" si="44"/>
        <v>0</v>
      </c>
      <c r="CV804" s="1283"/>
      <c r="CW804" s="1283"/>
      <c r="CX804" s="1283"/>
      <c r="CY804" s="1284"/>
      <c r="CZ804" s="1282">
        <f t="shared" si="45"/>
        <v>0</v>
      </c>
      <c r="DA804" s="1283"/>
      <c r="DB804" s="1283"/>
      <c r="DC804" s="1283"/>
      <c r="DD804" s="1284"/>
      <c r="DE804" s="1282">
        <f t="shared" si="46"/>
        <v>0</v>
      </c>
      <c r="DF804" s="1283"/>
      <c r="DG804" s="1283"/>
      <c r="DH804" s="1283"/>
      <c r="DI804" s="1284"/>
      <c r="DJ804" s="1282">
        <f t="shared" si="47"/>
        <v>0</v>
      </c>
      <c r="DK804" s="1283"/>
      <c r="DL804" s="1283"/>
      <c r="DM804" s="1283"/>
      <c r="DN804" s="1284"/>
      <c r="DO804" s="1282">
        <f t="shared" si="48"/>
        <v>0</v>
      </c>
      <c r="DP804" s="1283"/>
      <c r="DQ804" s="1283"/>
      <c r="DR804" s="1283"/>
      <c r="DS804" s="1284"/>
      <c r="DT804" s="6"/>
      <c r="DU804" s="1282">
        <f t="shared" si="49"/>
        <v>0</v>
      </c>
      <c r="DV804" s="1283"/>
      <c r="DW804" s="1283"/>
      <c r="DX804" s="1283"/>
      <c r="DY804" s="1284"/>
      <c r="DZ804" s="1282">
        <f t="shared" si="50"/>
        <v>0</v>
      </c>
      <c r="EA804" s="1283"/>
      <c r="EB804" s="1283"/>
      <c r="EC804" s="1283"/>
      <c r="ED804" s="1284"/>
      <c r="EE804" s="1282">
        <f t="shared" si="51"/>
        <v>0</v>
      </c>
      <c r="EF804" s="1283"/>
      <c r="EG804" s="1283"/>
      <c r="EH804" s="1283"/>
      <c r="EI804" s="1284"/>
      <c r="EJ804" s="1282">
        <f t="shared" si="52"/>
        <v>0</v>
      </c>
      <c r="EK804" s="1283"/>
      <c r="EL804" s="1283"/>
      <c r="EM804" s="1283"/>
      <c r="EN804" s="1284"/>
      <c r="EO804" s="1282">
        <f t="shared" si="53"/>
        <v>0</v>
      </c>
      <c r="EP804" s="1283"/>
      <c r="EQ804" s="1283"/>
      <c r="ER804" s="1283"/>
      <c r="ES804" s="1284"/>
      <c r="ET804" s="1282">
        <f t="shared" si="54"/>
        <v>0</v>
      </c>
      <c r="EU804" s="1283"/>
      <c r="EV804" s="1283"/>
      <c r="EW804" s="1283"/>
      <c r="EX804" s="1284"/>
    </row>
    <row r="805" spans="1:154" s="4" customFormat="1" ht="12.95" customHeight="1">
      <c r="A805"/>
      <c r="B805"/>
      <c r="C805"/>
      <c r="D805"/>
      <c r="E805"/>
      <c r="F805"/>
      <c r="G805"/>
      <c r="H805"/>
      <c r="I805"/>
      <c r="J805" s="1326" t="s">
        <v>125</v>
      </c>
      <c r="K805" s="1327"/>
      <c r="L805" s="1327"/>
      <c r="M805" s="1327"/>
      <c r="N805" s="1329"/>
      <c r="O805" s="1556">
        <f>SUM(O795:S804)</f>
        <v>0</v>
      </c>
      <c r="P805" s="1556"/>
      <c r="Q805" s="1556"/>
      <c r="R805" s="1556"/>
      <c r="S805" s="1556"/>
      <c r="T805"/>
      <c r="U805"/>
      <c r="V805"/>
      <c r="W805"/>
      <c r="X805" s="898" t="s">
        <v>124</v>
      </c>
      <c r="Y805" s="11"/>
      <c r="Z805" s="11"/>
      <c r="AA805" s="11"/>
      <c r="AB805" s="905"/>
      <c r="AC805" s="1308">
        <f>SUM(AC795:AG804)</f>
        <v>0</v>
      </c>
      <c r="AD805" s="1309"/>
      <c r="AE805" s="1309"/>
      <c r="AF805" s="1309"/>
      <c r="AG805" s="1310"/>
      <c r="AH805"/>
      <c r="AI805"/>
      <c r="AJ805"/>
      <c r="AK805"/>
      <c r="AL805"/>
      <c r="AM805"/>
      <c r="AN805"/>
      <c r="AO805"/>
      <c r="AP805"/>
      <c r="AQ805"/>
      <c r="AR805"/>
      <c r="AS805"/>
      <c r="AT805"/>
      <c r="AU805"/>
      <c r="AV805"/>
      <c r="AW805"/>
      <c r="AX805"/>
      <c r="AY805"/>
      <c r="AZ805" s="3"/>
      <c r="BA805"/>
      <c r="CP805" s="1285">
        <f>SUM(CP795:CT804)</f>
        <v>0</v>
      </c>
      <c r="CQ805" s="1286"/>
      <c r="CR805" s="1286"/>
      <c r="CS805" s="1286"/>
      <c r="CT805" s="1287"/>
      <c r="CU805" s="1298">
        <f>SUM(CU795:CY804)</f>
        <v>0</v>
      </c>
      <c r="CV805" s="1299"/>
      <c r="CW805" s="1299"/>
      <c r="CX805" s="1299"/>
      <c r="CY805" s="1300"/>
      <c r="CZ805" s="1298">
        <f>SUM(CZ795:DD804)</f>
        <v>0</v>
      </c>
      <c r="DA805" s="1299"/>
      <c r="DB805" s="1299"/>
      <c r="DC805" s="1299"/>
      <c r="DD805" s="1300"/>
      <c r="DE805" s="1298">
        <f>SUM(DE795:DI804)</f>
        <v>0</v>
      </c>
      <c r="DF805" s="1299"/>
      <c r="DG805" s="1299"/>
      <c r="DH805" s="1299"/>
      <c r="DI805" s="1300"/>
      <c r="DJ805" s="1298">
        <f>SUM(DJ795:DN804)</f>
        <v>0</v>
      </c>
      <c r="DK805" s="1299"/>
      <c r="DL805" s="1299"/>
      <c r="DM805" s="1299"/>
      <c r="DN805" s="1300"/>
      <c r="DO805" s="1298">
        <f>SUM(DO795:DS804)</f>
        <v>0</v>
      </c>
      <c r="DP805" s="1299"/>
      <c r="DQ805" s="1299"/>
      <c r="DR805" s="1299"/>
      <c r="DS805" s="1300"/>
      <c r="DT805" s="1007"/>
      <c r="DU805" s="1285">
        <f>SUM(DU795:DY804)</f>
        <v>0</v>
      </c>
      <c r="DV805" s="1286"/>
      <c r="DW805" s="1286"/>
      <c r="DX805" s="1286"/>
      <c r="DY805" s="1287"/>
      <c r="DZ805" s="1285">
        <f>SUM(DZ795:ED804)</f>
        <v>0</v>
      </c>
      <c r="EA805" s="1286"/>
      <c r="EB805" s="1286"/>
      <c r="EC805" s="1286"/>
      <c r="ED805" s="1287"/>
      <c r="EE805" s="1285">
        <f>SUM(EE795:EI804)</f>
        <v>0</v>
      </c>
      <c r="EF805" s="1286"/>
      <c r="EG805" s="1286"/>
      <c r="EH805" s="1286"/>
      <c r="EI805" s="1287"/>
      <c r="EJ805" s="1285">
        <f>SUM(EJ795:EN804)</f>
        <v>0</v>
      </c>
      <c r="EK805" s="1286"/>
      <c r="EL805" s="1286"/>
      <c r="EM805" s="1286"/>
      <c r="EN805" s="1287"/>
      <c r="EO805" s="1285">
        <f>SUM(EO795:ES804)</f>
        <v>0</v>
      </c>
      <c r="EP805" s="1286"/>
      <c r="EQ805" s="1286"/>
      <c r="ER805" s="1286"/>
      <c r="ES805" s="1287"/>
      <c r="ET805" s="1285">
        <f>SUM(ET795:EX804)</f>
        <v>0</v>
      </c>
      <c r="EU805" s="1286"/>
      <c r="EV805" s="1286"/>
      <c r="EW805" s="1286"/>
      <c r="EX805" s="1287"/>
    </row>
    <row r="806" spans="1:154" s="4" customFormat="1" ht="12.95" customHeight="1">
      <c r="A806"/>
      <c r="B806"/>
      <c r="C806" s="1545" t="str">
        <f>IF(O805&lt;&gt;AG447,"! Total market rate units in the Unit Mix Table above does not match the number of  market rate units on row #"&amp;TEXT(ROW(D447),"#"),"")</f>
        <v/>
      </c>
      <c r="D806" s="1545"/>
      <c r="E806" s="1545"/>
      <c r="F806" s="1545"/>
      <c r="G806" s="1545"/>
      <c r="H806" s="1545"/>
      <c r="I806" s="1545"/>
      <c r="J806" s="1545"/>
      <c r="K806" s="1545"/>
      <c r="L806" s="1545"/>
      <c r="M806" s="1545"/>
      <c r="N806" s="1545"/>
      <c r="O806" s="1545"/>
      <c r="P806" s="1545"/>
      <c r="Q806" s="1545"/>
      <c r="R806" s="1545"/>
      <c r="S806" s="1545"/>
      <c r="T806" s="1545"/>
      <c r="U806" s="1545"/>
      <c r="V806" s="1545"/>
      <c r="W806" s="1545"/>
      <c r="X806" s="1545"/>
      <c r="Y806" s="1545"/>
      <c r="Z806" s="1545"/>
      <c r="AA806" s="1545"/>
      <c r="AB806" s="1545"/>
      <c r="AC806" s="1545"/>
      <c r="AD806" s="1545"/>
      <c r="AE806" s="1545"/>
      <c r="AF806" s="1545"/>
      <c r="AG806" s="1545"/>
      <c r="AH806" s="1545"/>
      <c r="AI806" s="1545"/>
      <c r="AJ806" s="1545"/>
      <c r="AK806" s="1545"/>
      <c r="AL806" s="1545"/>
      <c r="AM806" s="1545"/>
      <c r="AN806" s="154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45"/>
      <c r="D807" s="1545"/>
      <c r="E807" s="1545"/>
      <c r="F807" s="1545"/>
      <c r="G807" s="1545"/>
      <c r="H807" s="1545"/>
      <c r="I807" s="1545"/>
      <c r="J807" s="1545"/>
      <c r="K807" s="1545"/>
      <c r="L807" s="1545"/>
      <c r="M807" s="1545"/>
      <c r="N807" s="1545"/>
      <c r="O807" s="1545"/>
      <c r="P807" s="1545"/>
      <c r="Q807" s="1545"/>
      <c r="R807" s="1545"/>
      <c r="S807" s="1545"/>
      <c r="T807" s="1545"/>
      <c r="U807" s="1545"/>
      <c r="V807" s="1545"/>
      <c r="W807" s="1545"/>
      <c r="X807" s="1545"/>
      <c r="Y807" s="1545"/>
      <c r="Z807" s="1545"/>
      <c r="AA807" s="1545"/>
      <c r="AB807" s="1545"/>
      <c r="AC807" s="1545"/>
      <c r="AD807" s="1545"/>
      <c r="AE807" s="1545"/>
      <c r="AF807" s="1545"/>
      <c r="AG807" s="1545"/>
      <c r="AH807" s="1545"/>
      <c r="AI807" s="1545"/>
      <c r="AJ807" s="1545"/>
      <c r="AK807" s="1545"/>
      <c r="AL807" s="1545"/>
      <c r="AM807" s="1545"/>
      <c r="AN807" s="154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295">
        <f>SUM(DU805:EX805)</f>
        <v>0</v>
      </c>
      <c r="EU807" s="1296"/>
      <c r="EV807" s="1296"/>
      <c r="EW807" s="1296"/>
      <c r="EX807" s="1297"/>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22">
        <f>O761+AC785+AC805</f>
        <v>301619</v>
      </c>
      <c r="Z808" s="1522"/>
      <c r="AA808" s="1522"/>
      <c r="AB808" s="1522"/>
      <c r="AC808" s="152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2">
        <f>(O761+AC785+AC805)*12</f>
        <v>3619428</v>
      </c>
      <c r="Z809" s="1522"/>
      <c r="AA809" s="1522"/>
      <c r="AB809" s="1522"/>
      <c r="AC809" s="152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98">
        <f>CP761+CP785+CP805</f>
        <v>0</v>
      </c>
      <c r="CQ810" s="1299"/>
      <c r="CR810" s="1299"/>
      <c r="CS810" s="1299"/>
      <c r="CT810" s="1300"/>
      <c r="CU810" s="1298">
        <f>CU761+CU785+CU805</f>
        <v>144</v>
      </c>
      <c r="CV810" s="1299"/>
      <c r="CW810" s="1299"/>
      <c r="CX810" s="1299"/>
      <c r="CY810" s="1300"/>
      <c r="CZ810" s="1298">
        <f>CZ761+CZ785+CZ805</f>
        <v>78</v>
      </c>
      <c r="DA810" s="1299"/>
      <c r="DB810" s="1299"/>
      <c r="DC810" s="1299"/>
      <c r="DD810" s="1300"/>
      <c r="DE810" s="1298">
        <f>DE761+DE785+DE805</f>
        <v>0</v>
      </c>
      <c r="DF810" s="1299"/>
      <c r="DG810" s="1299"/>
      <c r="DH810" s="1299"/>
      <c r="DI810" s="1300"/>
      <c r="DJ810" s="1298">
        <f>DJ761+DJ785+DJ805</f>
        <v>0</v>
      </c>
      <c r="DK810" s="1299"/>
      <c r="DL810" s="1299"/>
      <c r="DM810" s="1299"/>
      <c r="DN810" s="1300"/>
      <c r="DO810" s="1301">
        <f>DO805+DO785+DO761</f>
        <v>0</v>
      </c>
      <c r="DP810" s="1302"/>
      <c r="DQ810" s="1302"/>
      <c r="DR810" s="1302"/>
      <c r="DS810" s="1303"/>
      <c r="DT810" s="3"/>
      <c r="DU810" s="857">
        <f>DU763+DU808</f>
        <v>296</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00"/>
      <c r="AA814" s="1601"/>
      <c r="AB814" s="1601"/>
      <c r="AC814" s="1601"/>
      <c r="AD814" s="1601"/>
      <c r="AE814" s="1602"/>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70"/>
      <c r="AA815" s="1601"/>
      <c r="AB815" s="1601"/>
      <c r="AC815" s="1601"/>
      <c r="AD815" s="1601"/>
      <c r="AE815" s="160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48">
        <v>0</v>
      </c>
      <c r="AA816" s="1446"/>
      <c r="AB816" s="1446"/>
      <c r="AC816" s="1446"/>
      <c r="AD816" s="1446"/>
      <c r="AE816" s="154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9">
        <f>'Subsidy Contract Calculation'!J40</f>
        <v>0</v>
      </c>
      <c r="AA817" s="1420"/>
      <c r="AB817" s="1420"/>
      <c r="AC817" s="1420"/>
      <c r="AD817" s="1420"/>
      <c r="AE817" s="1421"/>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22">
        <v>31968</v>
      </c>
      <c r="AA821" s="1288"/>
      <c r="AB821" s="1288"/>
      <c r="AC821" s="1288"/>
      <c r="AD821" s="1288"/>
      <c r="AE821" s="1289"/>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22"/>
      <c r="AA822" s="1288"/>
      <c r="AB822" s="1288"/>
      <c r="AC822" s="1288"/>
      <c r="AD822" s="1288"/>
      <c r="AE822" s="1289"/>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22"/>
      <c r="AA823" s="1288"/>
      <c r="AB823" s="1288"/>
      <c r="AC823" s="1288"/>
      <c r="AD823" s="1288"/>
      <c r="AE823" s="1289"/>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50" t="s">
        <v>2755</v>
      </c>
      <c r="Q824" s="1551"/>
      <c r="R824" s="1551"/>
      <c r="S824" s="1551"/>
      <c r="T824" s="1551"/>
      <c r="U824" s="1551"/>
      <c r="V824" s="1551"/>
      <c r="W824" s="1551"/>
      <c r="X824" s="1551"/>
      <c r="Y824" s="1552"/>
      <c r="Z824" s="1422">
        <v>18000</v>
      </c>
      <c r="AA824" s="1288"/>
      <c r="AB824" s="1288"/>
      <c r="AC824" s="1288"/>
      <c r="AD824" s="1288"/>
      <c r="AE824" s="1289"/>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9">
        <f>SUM(Z821:AE824)</f>
        <v>49968</v>
      </c>
      <c r="AA825" s="1420"/>
      <c r="AB825" s="1420"/>
      <c r="AC825" s="1420"/>
      <c r="AD825" s="1420"/>
      <c r="AE825" s="1421"/>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19">
        <f>Z825+Y809+Z817</f>
        <v>3669396</v>
      </c>
      <c r="AA826" s="1420"/>
      <c r="AB826" s="1420"/>
      <c r="AC826" s="1420"/>
      <c r="AD826" s="1420"/>
      <c r="AE826" s="1421"/>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590" t="s">
        <v>126</v>
      </c>
      <c r="N831" s="1590"/>
      <c r="O831" s="1590"/>
      <c r="P831" s="1591"/>
      <c r="Q831" s="1547" t="s">
        <v>290</v>
      </c>
      <c r="R831" s="1547"/>
      <c r="S831" s="1547"/>
      <c r="T831" s="1547"/>
      <c r="U831" s="1547" t="s">
        <v>291</v>
      </c>
      <c r="V831" s="1547"/>
      <c r="W831" s="1547"/>
      <c r="X831" s="1547"/>
      <c r="Y831" s="1547" t="s">
        <v>292</v>
      </c>
      <c r="Z831" s="1547"/>
      <c r="AA831" s="1547"/>
      <c r="AB831" s="1547"/>
      <c r="AC831" s="1547" t="s">
        <v>361</v>
      </c>
      <c r="AD831" s="1547"/>
      <c r="AE831" s="1547"/>
      <c r="AF831" s="1547"/>
      <c r="AG831" s="1554" t="s">
        <v>335</v>
      </c>
      <c r="AH831" s="1554"/>
      <c r="AI831" s="1554"/>
      <c r="AJ831" s="1554"/>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592"/>
      <c r="N832" s="1592"/>
      <c r="O832" s="1592"/>
      <c r="P832" s="1593"/>
      <c r="Q832" s="1547"/>
      <c r="R832" s="1547"/>
      <c r="S832" s="1547"/>
      <c r="T832" s="1547"/>
      <c r="U832" s="1547"/>
      <c r="V832" s="1547"/>
      <c r="W832" s="1547"/>
      <c r="X832" s="1547"/>
      <c r="Y832" s="1547"/>
      <c r="Z832" s="1547"/>
      <c r="AA832" s="1547"/>
      <c r="AB832" s="1547"/>
      <c r="AC832" s="1547"/>
      <c r="AD832" s="1547"/>
      <c r="AE832" s="1547"/>
      <c r="AF832" s="1547"/>
      <c r="AG832" s="1554"/>
      <c r="AH832" s="1554"/>
      <c r="AI832" s="1554"/>
      <c r="AJ832" s="1554"/>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53" t="s">
        <v>40</v>
      </c>
      <c r="D833" s="1346"/>
      <c r="E833" s="1346"/>
      <c r="F833" s="1346"/>
      <c r="G833" s="1346"/>
      <c r="H833" s="1346"/>
      <c r="I833" s="48"/>
      <c r="J833" s="48"/>
      <c r="K833" s="48"/>
      <c r="L833" s="49"/>
      <c r="M833" s="1546"/>
      <c r="N833" s="1546"/>
      <c r="O833" s="1546"/>
      <c r="P833" s="1546"/>
      <c r="Q833" s="1546"/>
      <c r="R833" s="1546"/>
      <c r="S833" s="1546"/>
      <c r="T833" s="1546"/>
      <c r="U833" s="1546"/>
      <c r="V833" s="1546"/>
      <c r="W833" s="1546"/>
      <c r="X833" s="1546"/>
      <c r="Y833" s="1546"/>
      <c r="Z833" s="1546"/>
      <c r="AA833" s="1546"/>
      <c r="AB833" s="1546"/>
      <c r="AC833" s="1518"/>
      <c r="AD833" s="1519"/>
      <c r="AE833" s="1519"/>
      <c r="AF833" s="1520"/>
      <c r="AG833" s="1518"/>
      <c r="AH833" s="1519"/>
      <c r="AI833" s="1519"/>
      <c r="AJ833" s="1520"/>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15" t="s">
        <v>41</v>
      </c>
      <c r="D834" s="1395"/>
      <c r="E834" s="1395"/>
      <c r="F834" s="1395"/>
      <c r="G834" s="1395"/>
      <c r="H834" s="1395"/>
      <c r="I834" s="5"/>
      <c r="J834" s="5"/>
      <c r="K834" s="5"/>
      <c r="L834" s="46"/>
      <c r="M834" s="1546"/>
      <c r="N834" s="1546"/>
      <c r="O834" s="1546"/>
      <c r="P834" s="1546"/>
      <c r="Q834" s="1546"/>
      <c r="R834" s="1546"/>
      <c r="S834" s="1546"/>
      <c r="T834" s="1546"/>
      <c r="U834" s="1546"/>
      <c r="V834" s="1546"/>
      <c r="W834" s="1546"/>
      <c r="X834" s="1546"/>
      <c r="Y834" s="1546"/>
      <c r="Z834" s="1546"/>
      <c r="AA834" s="1546"/>
      <c r="AB834" s="1546"/>
      <c r="AC834" s="1518"/>
      <c r="AD834" s="1519"/>
      <c r="AE834" s="1519"/>
      <c r="AF834" s="1520"/>
      <c r="AG834" s="1518"/>
      <c r="AH834" s="1519"/>
      <c r="AI834" s="1519"/>
      <c r="AJ834" s="1520"/>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15" t="s">
        <v>42</v>
      </c>
      <c r="D835" s="1395"/>
      <c r="E835" s="1395"/>
      <c r="F835" s="1395"/>
      <c r="G835" s="1395"/>
      <c r="H835" s="1395"/>
      <c r="I835" s="60"/>
      <c r="J835" s="60"/>
      <c r="K835" s="60"/>
      <c r="L835" s="61"/>
      <c r="M835" s="1546"/>
      <c r="N835" s="1546"/>
      <c r="O835" s="1546"/>
      <c r="P835" s="1546"/>
      <c r="Q835" s="1546">
        <v>7</v>
      </c>
      <c r="R835" s="1546"/>
      <c r="S835" s="1546"/>
      <c r="T835" s="1546"/>
      <c r="U835" s="1546">
        <v>11</v>
      </c>
      <c r="V835" s="1546"/>
      <c r="W835" s="1546"/>
      <c r="X835" s="1546"/>
      <c r="Y835" s="1546"/>
      <c r="Z835" s="1546"/>
      <c r="AA835" s="1546"/>
      <c r="AB835" s="1546"/>
      <c r="AC835" s="1518"/>
      <c r="AD835" s="1519"/>
      <c r="AE835" s="1519"/>
      <c r="AF835" s="1520"/>
      <c r="AG835" s="1518"/>
      <c r="AH835" s="1519"/>
      <c r="AI835" s="1519"/>
      <c r="AJ835" s="1520"/>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15" t="s">
        <v>762</v>
      </c>
      <c r="D836" s="1395"/>
      <c r="E836" s="1395"/>
      <c r="F836" s="1395"/>
      <c r="G836" s="1395"/>
      <c r="H836" s="1395"/>
      <c r="I836" s="60"/>
      <c r="J836" s="60"/>
      <c r="K836" s="60"/>
      <c r="L836" s="61"/>
      <c r="M836" s="1546"/>
      <c r="N836" s="1546"/>
      <c r="O836" s="1546"/>
      <c r="P836" s="1546"/>
      <c r="Q836" s="1546">
        <v>28</v>
      </c>
      <c r="R836" s="1546"/>
      <c r="S836" s="1546"/>
      <c r="T836" s="1546"/>
      <c r="U836" s="1546">
        <v>39</v>
      </c>
      <c r="V836" s="1546"/>
      <c r="W836" s="1546"/>
      <c r="X836" s="1546"/>
      <c r="Y836" s="1546"/>
      <c r="Z836" s="1546"/>
      <c r="AA836" s="1546"/>
      <c r="AB836" s="1546"/>
      <c r="AC836" s="1518"/>
      <c r="AD836" s="1519"/>
      <c r="AE836" s="1519"/>
      <c r="AF836" s="1520"/>
      <c r="AG836" s="1518"/>
      <c r="AH836" s="1519"/>
      <c r="AI836" s="1519"/>
      <c r="AJ836" s="1520"/>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15" t="s">
        <v>459</v>
      </c>
      <c r="D837" s="1395"/>
      <c r="E837" s="1395"/>
      <c r="F837" s="1395"/>
      <c r="G837" s="1395"/>
      <c r="H837" s="1395"/>
      <c r="I837" s="60"/>
      <c r="J837" s="60"/>
      <c r="K837" s="60"/>
      <c r="L837" s="61"/>
      <c r="M837" s="1546"/>
      <c r="N837" s="1546"/>
      <c r="O837" s="1546"/>
      <c r="P837" s="1546"/>
      <c r="Q837" s="1546">
        <v>26</v>
      </c>
      <c r="R837" s="1546"/>
      <c r="S837" s="1546"/>
      <c r="T837" s="1546"/>
      <c r="U837" s="1546">
        <v>26</v>
      </c>
      <c r="V837" s="1546"/>
      <c r="W837" s="1546"/>
      <c r="X837" s="1546"/>
      <c r="Y837" s="1546"/>
      <c r="Z837" s="1546"/>
      <c r="AA837" s="1546"/>
      <c r="AB837" s="1546"/>
      <c r="AC837" s="1518"/>
      <c r="AD837" s="1519"/>
      <c r="AE837" s="1519"/>
      <c r="AF837" s="1520"/>
      <c r="AG837" s="1518"/>
      <c r="AH837" s="1519"/>
      <c r="AI837" s="1519"/>
      <c r="AJ837" s="1520"/>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69" t="s">
        <v>783</v>
      </c>
      <c r="D838" s="1395"/>
      <c r="E838" s="1395"/>
      <c r="F838" s="1395"/>
      <c r="G838" s="1395"/>
      <c r="H838" s="1395"/>
      <c r="I838" s="60"/>
      <c r="J838" s="60"/>
      <c r="K838" s="60"/>
      <c r="L838" s="61"/>
      <c r="M838" s="1546"/>
      <c r="N838" s="1546"/>
      <c r="O838" s="1546"/>
      <c r="P838" s="1546"/>
      <c r="Q838" s="1546"/>
      <c r="R838" s="1546"/>
      <c r="S838" s="1546"/>
      <c r="T838" s="1546"/>
      <c r="U838" s="1546"/>
      <c r="V838" s="1546"/>
      <c r="W838" s="1546"/>
      <c r="X838" s="1546"/>
      <c r="Y838" s="1546"/>
      <c r="Z838" s="1546"/>
      <c r="AA838" s="1546"/>
      <c r="AB838" s="1546"/>
      <c r="AC838" s="1518"/>
      <c r="AD838" s="1519"/>
      <c r="AE838" s="1519"/>
      <c r="AF838" s="1520"/>
      <c r="AG838" s="1518"/>
      <c r="AH838" s="1519"/>
      <c r="AI838" s="1519"/>
      <c r="AJ838" s="1520"/>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50" t="s">
        <v>2753</v>
      </c>
      <c r="G839" s="1551"/>
      <c r="H839" s="1551"/>
      <c r="I839" s="1551"/>
      <c r="J839" s="1551"/>
      <c r="K839" s="1551"/>
      <c r="L839" s="1551"/>
      <c r="M839" s="1546"/>
      <c r="N839" s="1546"/>
      <c r="O839" s="1546"/>
      <c r="P839" s="1546"/>
      <c r="Q839" s="1546">
        <v>14</v>
      </c>
      <c r="R839" s="1546"/>
      <c r="S839" s="1546"/>
      <c r="T839" s="1546"/>
      <c r="U839" s="1546">
        <v>20</v>
      </c>
      <c r="V839" s="1546"/>
      <c r="W839" s="1546"/>
      <c r="X839" s="1546"/>
      <c r="Y839" s="1546"/>
      <c r="Z839" s="1546"/>
      <c r="AA839" s="1546"/>
      <c r="AB839" s="1546"/>
      <c r="AC839" s="1518"/>
      <c r="AD839" s="1519"/>
      <c r="AE839" s="1519"/>
      <c r="AF839" s="1520"/>
      <c r="AG839" s="1518"/>
      <c r="AH839" s="1519"/>
      <c r="AI839" s="1519"/>
      <c r="AJ839" s="1520"/>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26" t="s">
        <v>124</v>
      </c>
      <c r="D840" s="1327"/>
      <c r="E840" s="1327"/>
      <c r="F840" s="1327"/>
      <c r="G840" s="1327"/>
      <c r="H840" s="1327"/>
      <c r="I840" s="1327"/>
      <c r="J840" s="1327"/>
      <c r="K840" s="1327"/>
      <c r="L840" s="1329"/>
      <c r="M840" s="1586">
        <f>SUM(M833:P839)</f>
        <v>0</v>
      </c>
      <c r="N840" s="1586"/>
      <c r="O840" s="1586"/>
      <c r="P840" s="1586"/>
      <c r="Q840" s="1586">
        <f>SUM(Q833:T839)</f>
        <v>75</v>
      </c>
      <c r="R840" s="1586"/>
      <c r="S840" s="1586"/>
      <c r="T840" s="1586"/>
      <c r="U840" s="1586">
        <f>SUM(U833:X839)</f>
        <v>96</v>
      </c>
      <c r="V840" s="1586"/>
      <c r="W840" s="1586"/>
      <c r="X840" s="1586"/>
      <c r="Y840" s="1586">
        <f>SUM(Y833:AB839)</f>
        <v>0</v>
      </c>
      <c r="Z840" s="1586"/>
      <c r="AA840" s="1586"/>
      <c r="AB840" s="1586"/>
      <c r="AC840" s="1586">
        <f>SUM(AC833:AF839)</f>
        <v>0</v>
      </c>
      <c r="AD840" s="1586"/>
      <c r="AE840" s="1586"/>
      <c r="AF840" s="1586"/>
      <c r="AG840" s="1586">
        <f>SUM(AG833:AJ839)</f>
        <v>0</v>
      </c>
      <c r="AH840" s="1586"/>
      <c r="AI840" s="1586"/>
      <c r="AJ840" s="1586"/>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06" t="s">
        <v>2754</v>
      </c>
      <c r="D845" s="1607"/>
      <c r="E845" s="1607"/>
      <c r="F845" s="1607"/>
      <c r="G845" s="1607"/>
      <c r="H845" s="1607"/>
      <c r="I845" s="1607"/>
      <c r="J845" s="1607"/>
      <c r="K845" s="1607"/>
      <c r="L845" s="1607"/>
      <c r="M845" s="1607"/>
      <c r="N845" s="1607"/>
      <c r="O845" s="1607"/>
      <c r="P845" s="1607"/>
      <c r="Q845" s="1607"/>
      <c r="R845" s="1607"/>
      <c r="S845" s="1607"/>
      <c r="T845" s="1607"/>
      <c r="U845" s="1607"/>
      <c r="V845" s="1607"/>
      <c r="W845" s="1607"/>
      <c r="X845" s="1607"/>
      <c r="Y845" s="1607"/>
      <c r="Z845" s="1607"/>
      <c r="AA845" s="1607"/>
      <c r="AB845" s="1607"/>
      <c r="AC845" s="1607"/>
      <c r="AD845" s="1607"/>
      <c r="AE845" s="1607"/>
      <c r="AF845" s="1607"/>
      <c r="AG845" s="1607"/>
      <c r="AH845" s="1607"/>
      <c r="AI845" s="1607"/>
      <c r="AJ845" s="1608"/>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85"/>
      <c r="BJ849" s="1585"/>
      <c r="BK849" s="1585"/>
      <c r="BL849" s="1585"/>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55">
        <v>10000</v>
      </c>
      <c r="X850" s="1555"/>
      <c r="Y850" s="1555"/>
      <c r="Z850" s="1555"/>
      <c r="AA850" s="1555"/>
      <c r="AB850" s="1555"/>
      <c r="AC850" s="1555"/>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55">
        <v>6000</v>
      </c>
      <c r="X851" s="1555"/>
      <c r="Y851" s="1555"/>
      <c r="Z851" s="1555"/>
      <c r="AA851" s="1555"/>
      <c r="AB851" s="1555"/>
      <c r="AC851" s="1555"/>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55">
        <v>6000</v>
      </c>
      <c r="X852" s="1555"/>
      <c r="Y852" s="1555"/>
      <c r="Z852" s="1555"/>
      <c r="AA852" s="1555"/>
      <c r="AB852" s="1555"/>
      <c r="AC852" s="1555"/>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55"/>
      <c r="X853" s="1555"/>
      <c r="Y853" s="1555"/>
      <c r="Z853" s="1555"/>
      <c r="AA853" s="1555"/>
      <c r="AB853" s="1555"/>
      <c r="AC853" s="1555"/>
      <c r="AZ853" s="30"/>
      <c r="BA853" s="30"/>
      <c r="BB853" s="14"/>
      <c r="BC853" s="14"/>
      <c r="BD853" s="14"/>
      <c r="BE853" s="14"/>
      <c r="BF853" s="14"/>
      <c r="BG853" s="14"/>
      <c r="BH853" s="14"/>
      <c r="BI853" s="14"/>
      <c r="BJ853" s="14"/>
      <c r="BK853" s="14"/>
      <c r="BL853" s="14"/>
    </row>
    <row r="854" spans="1:64" ht="12.95" customHeight="1">
      <c r="J854" s="45" t="s">
        <v>170</v>
      </c>
      <c r="K854" s="5"/>
      <c r="L854" s="5"/>
      <c r="M854" s="1550" t="s">
        <v>2758</v>
      </c>
      <c r="N854" s="1551"/>
      <c r="O854" s="1551"/>
      <c r="P854" s="1551"/>
      <c r="Q854" s="1551"/>
      <c r="R854" s="1551"/>
      <c r="S854" s="1551"/>
      <c r="T854" s="1551"/>
      <c r="U854" s="1551"/>
      <c r="V854" s="1552"/>
      <c r="W854" s="1555">
        <v>56300</v>
      </c>
      <c r="X854" s="1555"/>
      <c r="Y854" s="1555"/>
      <c r="Z854" s="1555"/>
      <c r="AA854" s="1555"/>
      <c r="AB854" s="1555"/>
      <c r="AC854" s="1555"/>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19">
        <f>SUM(W850:W854)</f>
        <v>78300</v>
      </c>
      <c r="X855" s="1420"/>
      <c r="Y855" s="1420"/>
      <c r="Z855" s="1420"/>
      <c r="AA855" s="1420"/>
      <c r="AB855" s="1420"/>
      <c r="AC855" s="1421"/>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88"/>
      <c r="BH856" s="1588"/>
      <c r="BI856" s="1588"/>
      <c r="BJ856" s="1588"/>
      <c r="BK856" s="1588"/>
      <c r="BL856" s="1588"/>
    </row>
    <row r="857" spans="1:64" ht="12.95" customHeight="1">
      <c r="C857" s="2" t="s">
        <v>344</v>
      </c>
      <c r="J857" s="1326" t="s">
        <v>345</v>
      </c>
      <c r="K857" s="1327"/>
      <c r="L857" s="1327"/>
      <c r="M857" s="1327"/>
      <c r="N857" s="1327"/>
      <c r="O857" s="1327"/>
      <c r="P857" s="1327"/>
      <c r="Q857" s="1327"/>
      <c r="R857" s="1327"/>
      <c r="S857" s="1327"/>
      <c r="T857" s="1327"/>
      <c r="U857" s="1327"/>
      <c r="V857" s="1329"/>
      <c r="W857" s="1422">
        <v>104578</v>
      </c>
      <c r="X857" s="1288"/>
      <c r="Y857" s="1288"/>
      <c r="Z857" s="1288"/>
      <c r="AA857" s="1288"/>
      <c r="AB857" s="1288"/>
      <c r="AC857" s="1289"/>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598"/>
      <c r="X859" s="1598"/>
      <c r="Y859" s="1598"/>
      <c r="Z859" s="1598"/>
      <c r="AA859" s="1598"/>
      <c r="AB859" s="1598"/>
      <c r="AC859" s="1598"/>
      <c r="AZ859" s="1594"/>
      <c r="BA859" s="1594"/>
      <c r="BB859" s="14"/>
      <c r="BC859" s="14"/>
    </row>
    <row r="860" spans="1:64" ht="12.95" customHeight="1">
      <c r="J860" s="45" t="s">
        <v>351</v>
      </c>
      <c r="K860" s="5"/>
      <c r="L860" s="5"/>
      <c r="M860" s="5"/>
      <c r="N860" s="5"/>
      <c r="O860" s="5"/>
      <c r="P860" s="5"/>
      <c r="Q860" s="5"/>
      <c r="R860" s="5"/>
      <c r="S860" s="5"/>
      <c r="T860" s="5"/>
      <c r="U860" s="5"/>
      <c r="V860" s="46"/>
      <c r="W860" s="1598">
        <v>28000</v>
      </c>
      <c r="X860" s="1598"/>
      <c r="Y860" s="1598"/>
      <c r="Z860" s="1598"/>
      <c r="AA860" s="1598"/>
      <c r="AB860" s="1598"/>
      <c r="AC860" s="1598"/>
      <c r="AZ860" s="30"/>
      <c r="BA860" s="30"/>
      <c r="BB860" s="14"/>
      <c r="BC860" s="14"/>
    </row>
    <row r="861" spans="1:64" ht="12.95" customHeight="1">
      <c r="J861" s="45" t="s">
        <v>459</v>
      </c>
      <c r="K861" s="5"/>
      <c r="L861" s="5"/>
      <c r="M861" s="5"/>
      <c r="N861" s="5"/>
      <c r="O861" s="5"/>
      <c r="P861" s="5"/>
      <c r="Q861" s="5"/>
      <c r="R861" s="5"/>
      <c r="S861" s="5"/>
      <c r="T861" s="5"/>
      <c r="U861" s="5"/>
      <c r="V861" s="46"/>
      <c r="W861" s="1598">
        <v>71000</v>
      </c>
      <c r="X861" s="1598"/>
      <c r="Y861" s="1598"/>
      <c r="Z861" s="1598"/>
      <c r="AA861" s="1598"/>
      <c r="AB861" s="1598"/>
      <c r="AC861" s="1598"/>
      <c r="AZ861" s="30"/>
      <c r="BA861" s="30"/>
      <c r="BB861" s="14"/>
      <c r="BC861" s="14"/>
    </row>
    <row r="862" spans="1:64" ht="12.95" customHeight="1">
      <c r="J862" s="62" t="s">
        <v>620</v>
      </c>
      <c r="K862" s="5"/>
      <c r="L862" s="5"/>
      <c r="M862" s="5"/>
      <c r="N862" s="5"/>
      <c r="O862" s="5"/>
      <c r="P862" s="5"/>
      <c r="Q862" s="5"/>
      <c r="R862" s="5"/>
      <c r="S862" s="5"/>
      <c r="T862" s="5"/>
      <c r="U862" s="5"/>
      <c r="V862" s="46"/>
      <c r="W862" s="1598">
        <v>162750</v>
      </c>
      <c r="X862" s="1598"/>
      <c r="Y862" s="1598"/>
      <c r="Z862" s="1598"/>
      <c r="AA862" s="1598"/>
      <c r="AB862" s="1598"/>
      <c r="AC862" s="1598"/>
      <c r="AZ862" s="34"/>
      <c r="BA862" s="34"/>
      <c r="BB862" s="34"/>
      <c r="BC862" s="34"/>
    </row>
    <row r="863" spans="1:64" ht="12.95" customHeight="1">
      <c r="J863" s="63"/>
      <c r="K863" s="48"/>
      <c r="L863" s="48"/>
      <c r="M863" s="48"/>
      <c r="N863" s="48"/>
      <c r="O863" s="48"/>
      <c r="P863" s="48"/>
      <c r="Q863" s="48"/>
      <c r="R863" s="48"/>
      <c r="S863" s="48"/>
      <c r="T863" s="48"/>
      <c r="U863" s="48"/>
      <c r="V863" s="54" t="s">
        <v>272</v>
      </c>
      <c r="W863" s="1599">
        <f>SUM(W859:W862)</f>
        <v>261750</v>
      </c>
      <c r="X863" s="1599"/>
      <c r="Y863" s="1599"/>
      <c r="Z863" s="1599"/>
      <c r="AA863" s="1599"/>
      <c r="AB863" s="1599"/>
      <c r="AC863" s="1599"/>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595">
        <v>124000</v>
      </c>
      <c r="X865" s="1596"/>
      <c r="Y865" s="1596"/>
      <c r="Z865" s="1596"/>
      <c r="AA865" s="1596"/>
      <c r="AB865" s="1596"/>
      <c r="AC865" s="1597"/>
      <c r="AD865" s="528"/>
      <c r="AZ865" s="34"/>
      <c r="BA865" s="34"/>
      <c r="BB865" s="34"/>
      <c r="BC865" s="34"/>
    </row>
    <row r="866" spans="3:55" ht="12.95" customHeight="1">
      <c r="C866" s="2" t="s">
        <v>347</v>
      </c>
      <c r="J866" s="121" t="s">
        <v>1644</v>
      </c>
      <c r="K866" s="5"/>
      <c r="L866" s="5"/>
      <c r="M866" s="5"/>
      <c r="N866" s="5"/>
      <c r="O866" s="5"/>
      <c r="P866" s="5"/>
      <c r="Q866" s="5"/>
      <c r="R866" s="5"/>
      <c r="S866" s="5"/>
      <c r="T866" s="1609">
        <v>2</v>
      </c>
      <c r="U866" s="1364"/>
      <c r="V866" s="1610"/>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595">
        <v>133000</v>
      </c>
      <c r="X867" s="1596"/>
      <c r="Y867" s="1596"/>
      <c r="Z867" s="1596"/>
      <c r="AA867" s="1596"/>
      <c r="AB867" s="1596"/>
      <c r="AC867" s="1597"/>
      <c r="AD867" s="533"/>
      <c r="AZ867" s="34"/>
      <c r="BA867" s="34"/>
      <c r="BB867" s="34"/>
      <c r="BC867" s="34"/>
    </row>
    <row r="868" spans="3:55" ht="12.95" customHeight="1">
      <c r="C868" s="2"/>
      <c r="J868" s="121" t="s">
        <v>1645</v>
      </c>
      <c r="K868" s="5"/>
      <c r="L868" s="5"/>
      <c r="M868" s="5"/>
      <c r="N868" s="5"/>
      <c r="O868" s="5"/>
      <c r="P868" s="5"/>
      <c r="Q868" s="5"/>
      <c r="R868" s="5"/>
      <c r="S868" s="5"/>
      <c r="T868" s="1609">
        <v>2</v>
      </c>
      <c r="U868" s="1364"/>
      <c r="V868" s="1610"/>
      <c r="W868" s="870"/>
      <c r="X868" s="871"/>
      <c r="Y868" s="871"/>
      <c r="Z868" s="871"/>
      <c r="AA868" s="871"/>
      <c r="AB868" s="871"/>
      <c r="AC868" s="872"/>
      <c r="AD868" s="533"/>
      <c r="AZ868" s="34"/>
      <c r="BA868" s="34"/>
      <c r="BB868" s="34"/>
      <c r="BC868" s="34"/>
    </row>
    <row r="869" spans="3:55" ht="12.95" customHeight="1">
      <c r="J869" s="45" t="s">
        <v>170</v>
      </c>
      <c r="K869" s="5"/>
      <c r="L869" s="5"/>
      <c r="M869" s="1550" t="s">
        <v>2757</v>
      </c>
      <c r="N869" s="1551"/>
      <c r="O869" s="1551"/>
      <c r="P869" s="1551"/>
      <c r="Q869" s="1551"/>
      <c r="R869" s="1551"/>
      <c r="S869" s="1551"/>
      <c r="T869" s="1551"/>
      <c r="U869" s="1551"/>
      <c r="V869" s="1552"/>
      <c r="W869" s="1595">
        <v>226141</v>
      </c>
      <c r="X869" s="1596"/>
      <c r="Y869" s="1596"/>
      <c r="Z869" s="1596"/>
      <c r="AA869" s="1596"/>
      <c r="AB869" s="1596"/>
      <c r="AC869" s="1597"/>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97">
        <f>SUM(W865:W869)</f>
        <v>483141</v>
      </c>
      <c r="X870" s="1698"/>
      <c r="Y870" s="1698"/>
      <c r="Z870" s="1698"/>
      <c r="AA870" s="1698"/>
      <c r="AB870" s="1698"/>
      <c r="AC870" s="1699"/>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95"/>
      <c r="X872" s="1596"/>
      <c r="Y872" s="1596"/>
      <c r="Z872" s="1596"/>
      <c r="AA872" s="1596"/>
      <c r="AB872" s="1596"/>
      <c r="AC872" s="1597"/>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55"/>
      <c r="X874" s="1555"/>
      <c r="Y874" s="1555"/>
      <c r="Z874" s="1555"/>
      <c r="AA874" s="1555"/>
      <c r="AB874" s="1555"/>
      <c r="AC874" s="1555"/>
      <c r="AU874" s="14"/>
      <c r="AZ874" s="34"/>
      <c r="BA874" s="34"/>
      <c r="BB874" s="34"/>
      <c r="BC874" s="34"/>
    </row>
    <row r="875" spans="3:55" ht="12.95" customHeight="1">
      <c r="J875" s="45" t="s">
        <v>522</v>
      </c>
      <c r="K875" s="5"/>
      <c r="L875" s="5"/>
      <c r="M875" s="5"/>
      <c r="N875" s="5"/>
      <c r="O875" s="5"/>
      <c r="P875" s="5"/>
      <c r="Q875" s="5"/>
      <c r="R875" s="5"/>
      <c r="S875" s="5"/>
      <c r="T875" s="5"/>
      <c r="U875" s="5"/>
      <c r="V875" s="46"/>
      <c r="W875" s="1555">
        <v>55000</v>
      </c>
      <c r="X875" s="1555"/>
      <c r="Y875" s="1555"/>
      <c r="Z875" s="1555"/>
      <c r="AA875" s="1555"/>
      <c r="AB875" s="1555"/>
      <c r="AC875" s="1555"/>
      <c r="AU875" s="4"/>
      <c r="AZ875" s="34"/>
      <c r="BA875" s="34"/>
      <c r="BB875" s="34"/>
      <c r="BC875" s="34"/>
    </row>
    <row r="876" spans="3:55" ht="12.95" customHeight="1">
      <c r="J876" s="45" t="s">
        <v>521</v>
      </c>
      <c r="K876" s="5"/>
      <c r="L876" s="5"/>
      <c r="M876" s="5"/>
      <c r="N876" s="5"/>
      <c r="O876" s="5"/>
      <c r="P876" s="5"/>
      <c r="Q876" s="5"/>
      <c r="R876" s="5"/>
      <c r="S876" s="5"/>
      <c r="T876" s="5"/>
      <c r="U876" s="5"/>
      <c r="V876" s="46"/>
      <c r="W876" s="1555">
        <v>20000</v>
      </c>
      <c r="X876" s="1555"/>
      <c r="Y876" s="1555"/>
      <c r="Z876" s="1555"/>
      <c r="AA876" s="1555"/>
      <c r="AB876" s="1555"/>
      <c r="AC876" s="1555"/>
      <c r="AU876" s="4"/>
      <c r="AZ876" s="34"/>
      <c r="BA876" s="34"/>
      <c r="BB876" s="34"/>
      <c r="BC876" s="34"/>
    </row>
    <row r="877" spans="3:55" ht="12.95" customHeight="1">
      <c r="J877" s="45" t="s">
        <v>520</v>
      </c>
      <c r="K877" s="5"/>
      <c r="L877" s="5"/>
      <c r="M877" s="5"/>
      <c r="N877" s="5"/>
      <c r="O877" s="5"/>
      <c r="P877" s="5"/>
      <c r="Q877" s="5"/>
      <c r="R877" s="5"/>
      <c r="S877" s="5"/>
      <c r="T877" s="5"/>
      <c r="U877" s="5"/>
      <c r="V877" s="46"/>
      <c r="W877" s="1555"/>
      <c r="X877" s="1555"/>
      <c r="Y877" s="1555"/>
      <c r="Z877" s="1555"/>
      <c r="AA877" s="1555"/>
      <c r="AB877" s="1555"/>
      <c r="AC877" s="1555"/>
      <c r="AU877" s="4"/>
      <c r="AZ877" s="34"/>
      <c r="BA877" s="34"/>
      <c r="BB877" s="34"/>
      <c r="BC877" s="34"/>
    </row>
    <row r="878" spans="3:55" ht="12.95" customHeight="1">
      <c r="J878" s="45" t="s">
        <v>519</v>
      </c>
      <c r="K878" s="5"/>
      <c r="L878" s="5"/>
      <c r="M878" s="5"/>
      <c r="N878" s="5"/>
      <c r="O878" s="5"/>
      <c r="P878" s="5"/>
      <c r="Q878" s="5"/>
      <c r="R878" s="5"/>
      <c r="S878" s="5"/>
      <c r="T878" s="5"/>
      <c r="U878" s="5"/>
      <c r="V878" s="46"/>
      <c r="W878" s="1555">
        <v>55000</v>
      </c>
      <c r="X878" s="1555"/>
      <c r="Y878" s="1555"/>
      <c r="Z878" s="1555"/>
      <c r="AA878" s="1555"/>
      <c r="AB878" s="1555"/>
      <c r="AC878" s="1555"/>
      <c r="AU878" s="4"/>
      <c r="AZ878" s="34"/>
      <c r="BA878" s="34"/>
      <c r="BB878" s="34"/>
      <c r="BC878" s="34"/>
    </row>
    <row r="879" spans="3:55" ht="12.95" customHeight="1">
      <c r="J879" s="45" t="s">
        <v>518</v>
      </c>
      <c r="K879" s="5"/>
      <c r="L879" s="5"/>
      <c r="M879" s="5"/>
      <c r="N879" s="5"/>
      <c r="O879" s="5"/>
      <c r="P879" s="5"/>
      <c r="Q879" s="5"/>
      <c r="R879" s="5"/>
      <c r="S879" s="5"/>
      <c r="T879" s="5"/>
      <c r="U879" s="5"/>
      <c r="V879" s="46"/>
      <c r="W879" s="1555">
        <v>12000</v>
      </c>
      <c r="X879" s="1555"/>
      <c r="Y879" s="1555"/>
      <c r="Z879" s="1555"/>
      <c r="AA879" s="1555"/>
      <c r="AB879" s="1555"/>
      <c r="AC879" s="1555"/>
      <c r="AU879" s="4"/>
      <c r="AZ879" s="34"/>
      <c r="BA879" s="34"/>
      <c r="BB879" s="34"/>
      <c r="BC879" s="34"/>
    </row>
    <row r="880" spans="3:55" ht="12.95" customHeight="1">
      <c r="J880" s="45" t="s">
        <v>170</v>
      </c>
      <c r="K880" s="5"/>
      <c r="L880" s="5"/>
      <c r="M880" s="1550" t="s">
        <v>2756</v>
      </c>
      <c r="N880" s="1551"/>
      <c r="O880" s="1551"/>
      <c r="P880" s="1551"/>
      <c r="Q880" s="1551"/>
      <c r="R880" s="1551"/>
      <c r="S880" s="1551"/>
      <c r="T880" s="1551"/>
      <c r="U880" s="1551"/>
      <c r="V880" s="1552"/>
      <c r="W880" s="1555">
        <v>7000</v>
      </c>
      <c r="X880" s="1555"/>
      <c r="Y880" s="1555"/>
      <c r="Z880" s="1555"/>
      <c r="AA880" s="1555"/>
      <c r="AB880" s="1555"/>
      <c r="AC880" s="1555"/>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22">
        <f>SUM(W874:W880)</f>
        <v>149000</v>
      </c>
      <c r="X881" s="1522"/>
      <c r="Y881" s="1522"/>
      <c r="Z881" s="1522"/>
      <c r="AA881" s="1522"/>
      <c r="AB881" s="1522"/>
      <c r="AC881" s="1522"/>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550" t="s">
        <v>334</v>
      </c>
      <c r="N883" s="1551"/>
      <c r="O883" s="1551"/>
      <c r="P883" s="1551"/>
      <c r="Q883" s="1551"/>
      <c r="R883" s="1551"/>
      <c r="S883" s="1551"/>
      <c r="T883" s="1551"/>
      <c r="U883" s="1551"/>
      <c r="V883" s="1552"/>
      <c r="W883" s="1422"/>
      <c r="X883" s="1288"/>
      <c r="Y883" s="1288"/>
      <c r="Z883" s="1288"/>
      <c r="AA883" s="1288"/>
      <c r="AB883" s="1288"/>
      <c r="AC883" s="1289"/>
      <c r="AD883" s="533"/>
      <c r="AV883" s="14"/>
      <c r="AW883" s="14"/>
      <c r="AX883" s="14"/>
      <c r="AY883" s="14"/>
      <c r="AZ883" s="34"/>
      <c r="BA883" s="34"/>
      <c r="BB883" s="34"/>
      <c r="BC883" s="34"/>
    </row>
    <row r="884" spans="3:55" ht="12.95" customHeight="1">
      <c r="C884" s="2" t="s">
        <v>1244</v>
      </c>
      <c r="J884" s="45" t="s">
        <v>170</v>
      </c>
      <c r="K884" s="5"/>
      <c r="L884" s="5"/>
      <c r="M884" s="1550" t="s">
        <v>334</v>
      </c>
      <c r="N884" s="1551"/>
      <c r="O884" s="1551"/>
      <c r="P884" s="1551"/>
      <c r="Q884" s="1551"/>
      <c r="R884" s="1551"/>
      <c r="S884" s="1551"/>
      <c r="T884" s="1551"/>
      <c r="U884" s="1551"/>
      <c r="V884" s="1552"/>
      <c r="W884" s="1422"/>
      <c r="X884" s="1288"/>
      <c r="Y884" s="1288"/>
      <c r="Z884" s="1288"/>
      <c r="AA884" s="1288"/>
      <c r="AB884" s="1288"/>
      <c r="AC884" s="1289"/>
      <c r="AD884" s="533"/>
      <c r="AV884" s="14"/>
      <c r="AW884" s="14"/>
      <c r="AX884" s="14"/>
      <c r="AY884" s="14"/>
      <c r="AZ884" s="34"/>
      <c r="BA884" s="34"/>
      <c r="BB884" s="34"/>
      <c r="BC884" s="34"/>
    </row>
    <row r="885" spans="3:55" ht="12.95" customHeight="1">
      <c r="J885" s="45" t="s">
        <v>170</v>
      </c>
      <c r="K885" s="5"/>
      <c r="L885" s="5"/>
      <c r="M885" s="1550" t="s">
        <v>334</v>
      </c>
      <c r="N885" s="1551"/>
      <c r="O885" s="1551"/>
      <c r="P885" s="1551"/>
      <c r="Q885" s="1551"/>
      <c r="R885" s="1551"/>
      <c r="S885" s="1551"/>
      <c r="T885" s="1551"/>
      <c r="U885" s="1551"/>
      <c r="V885" s="1552"/>
      <c r="W885" s="1422"/>
      <c r="X885" s="1288"/>
      <c r="Y885" s="1288"/>
      <c r="Z885" s="1288"/>
      <c r="AA885" s="1288"/>
      <c r="AB885" s="1288"/>
      <c r="AC885" s="1289"/>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50" t="s">
        <v>334</v>
      </c>
      <c r="N886" s="1551"/>
      <c r="O886" s="1551"/>
      <c r="P886" s="1551"/>
      <c r="Q886" s="1551"/>
      <c r="R886" s="1551"/>
      <c r="S886" s="1551"/>
      <c r="T886" s="1551"/>
      <c r="U886" s="1551"/>
      <c r="V886" s="1552"/>
      <c r="W886" s="1422"/>
      <c r="X886" s="1288"/>
      <c r="Y886" s="1288"/>
      <c r="Z886" s="1288"/>
      <c r="AA886" s="1288"/>
      <c r="AB886" s="1288"/>
      <c r="AC886" s="1289"/>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50" t="s">
        <v>334</v>
      </c>
      <c r="N887" s="1551"/>
      <c r="O887" s="1551"/>
      <c r="P887" s="1551"/>
      <c r="Q887" s="1551"/>
      <c r="R887" s="1551"/>
      <c r="S887" s="1551"/>
      <c r="T887" s="1551"/>
      <c r="U887" s="1551"/>
      <c r="V887" s="1552"/>
      <c r="W887" s="1422"/>
      <c r="X887" s="1288"/>
      <c r="Y887" s="1288"/>
      <c r="Z887" s="1288"/>
      <c r="AA887" s="1288"/>
      <c r="AB887" s="1288"/>
      <c r="AC887" s="1289"/>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19">
        <f>SUM(W883:W887)</f>
        <v>0</v>
      </c>
      <c r="X888" s="1420"/>
      <c r="Y888" s="1420"/>
      <c r="Z888" s="1420"/>
      <c r="AA888" s="1420"/>
      <c r="AB888" s="1420"/>
      <c r="AC888" s="1421"/>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20">
        <f>W855+W863+W870+W872+W881+W888+W857</f>
        <v>1076769</v>
      </c>
      <c r="AD892" s="1420"/>
      <c r="AE892" s="1420"/>
      <c r="AF892" s="1420"/>
      <c r="AG892" s="1420"/>
      <c r="AH892" s="1421"/>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77">
        <f>O805+O785+G761</f>
        <v>222</v>
      </c>
      <c r="AD893" s="1677"/>
      <c r="AE893" s="1677"/>
      <c r="AF893" s="1677"/>
      <c r="AG893" s="1677"/>
      <c r="AH893" s="1678"/>
      <c r="AL893" s="4"/>
      <c r="AM893" s="4"/>
      <c r="AN893" s="4"/>
      <c r="AO893" s="4"/>
      <c r="AP893" s="4"/>
      <c r="AQ893" s="4"/>
      <c r="AR893" s="4"/>
      <c r="AS893" s="4"/>
      <c r="AT893" s="4"/>
      <c r="AZ893" s="34"/>
      <c r="BA893" s="34"/>
      <c r="BB893" s="34"/>
      <c r="BC893" s="34"/>
    </row>
    <row r="894" spans="3:55" ht="12.95" customHeight="1">
      <c r="C894" s="41"/>
      <c r="D894" s="42"/>
      <c r="E894" s="1695" t="s">
        <v>32</v>
      </c>
      <c r="F894" s="1695"/>
      <c r="G894" s="1695"/>
      <c r="H894" s="1695"/>
      <c r="I894" s="1695"/>
      <c r="J894" s="1695"/>
      <c r="K894" s="1695"/>
      <c r="L894" s="1695"/>
      <c r="M894" s="1695"/>
      <c r="N894" s="1695"/>
      <c r="O894" s="1695"/>
      <c r="P894" s="1695"/>
      <c r="Q894" s="1695"/>
      <c r="R894" s="1695"/>
      <c r="S894" s="1695"/>
      <c r="T894" s="1695"/>
      <c r="U894" s="1695"/>
      <c r="V894" s="1695"/>
      <c r="W894" s="1695"/>
      <c r="X894" s="1695"/>
      <c r="Y894" s="1695"/>
      <c r="Z894" s="1695"/>
      <c r="AA894" s="1695"/>
      <c r="AB894" s="1696"/>
      <c r="AC894" s="1522">
        <f>IF(ISERROR((ROUNDDOWN(AC892/AC893,0))),0,(ROUNDDOWN(AC892/AC893,0)))</f>
        <v>4850</v>
      </c>
      <c r="AD894" s="1522"/>
      <c r="AE894" s="1522"/>
      <c r="AF894" s="1522"/>
      <c r="AG894" s="1522"/>
      <c r="AH894" s="1522"/>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11"/>
      <c r="AD895" s="1612"/>
      <c r="AE895" s="1612"/>
      <c r="AF895" s="1612"/>
      <c r="AG895" s="1612"/>
      <c r="AH895" s="1612"/>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289"/>
      <c r="AD896" s="1555"/>
      <c r="AE896" s="1555"/>
      <c r="AF896" s="1555"/>
      <c r="AG896" s="1555"/>
      <c r="AH896" s="1555"/>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288">
        <v>28260</v>
      </c>
      <c r="AD897" s="1288"/>
      <c r="AE897" s="1288"/>
      <c r="AF897" s="1288"/>
      <c r="AG897" s="1288"/>
      <c r="AH897" s="1289"/>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88">
        <v>66600</v>
      </c>
      <c r="AD898" s="1288"/>
      <c r="AE898" s="1288"/>
      <c r="AF898" s="1288"/>
      <c r="AG898" s="1288"/>
      <c r="AH898" s="1289"/>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18"/>
      <c r="AD899" s="1519"/>
      <c r="AE899" s="1519"/>
      <c r="AF899" s="1519"/>
      <c r="AG899" s="1519"/>
      <c r="AH899" s="1520"/>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88">
        <v>250000</v>
      </c>
      <c r="AD900" s="1288"/>
      <c r="AE900" s="1288"/>
      <c r="AF900" s="1288"/>
      <c r="AG900" s="1288"/>
      <c r="AH900" s="1289"/>
      <c r="AZ900" s="34"/>
      <c r="BA900" s="34"/>
      <c r="BB900" s="34"/>
      <c r="BC900" s="34"/>
    </row>
    <row r="901" spans="1:58" ht="12.95" hidden="1" customHeight="1">
      <c r="C901" s="1326" t="s">
        <v>2186</v>
      </c>
      <c r="D901" s="1327"/>
      <c r="E901" s="1327"/>
      <c r="F901" s="1327"/>
      <c r="G901" s="1327"/>
      <c r="H901" s="1327"/>
      <c r="I901" s="1327"/>
      <c r="J901" s="1327"/>
      <c r="K901" s="1327"/>
      <c r="L901" s="1327"/>
      <c r="M901" s="1327"/>
      <c r="N901" s="1327"/>
      <c r="O901" s="1327"/>
      <c r="P901" s="1327"/>
      <c r="Q901" s="1327"/>
      <c r="R901" s="1327"/>
      <c r="S901" s="1327"/>
      <c r="T901" s="1327"/>
      <c r="U901" s="1327"/>
      <c r="V901" s="1327"/>
      <c r="W901" s="1327"/>
      <c r="X901" s="1327"/>
      <c r="Y901" s="1327"/>
      <c r="Z901" s="1327"/>
      <c r="AA901" s="1327"/>
      <c r="AB901" s="1329"/>
      <c r="AC901" s="1288"/>
      <c r="AD901" s="1288"/>
      <c r="AE901" s="1288"/>
      <c r="AF901" s="1288"/>
      <c r="AG901" s="1288"/>
      <c r="AH901" s="1289"/>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288"/>
      <c r="AD902" s="1288"/>
      <c r="AE902" s="1288"/>
      <c r="AF902" s="1288"/>
      <c r="AG902" s="1288"/>
      <c r="AH902" s="1289"/>
      <c r="AZ902" s="34"/>
      <c r="BA902" s="34"/>
      <c r="BB902" s="34"/>
      <c r="BC902" s="34"/>
    </row>
    <row r="903" spans="1:58" ht="12.95" customHeight="1">
      <c r="C903" s="1624" t="s">
        <v>956</v>
      </c>
      <c r="D903" s="1625"/>
      <c r="E903" s="1625"/>
      <c r="F903" s="1625"/>
      <c r="G903" s="1625"/>
      <c r="H903" s="1625"/>
      <c r="I903" s="1625"/>
      <c r="J903" s="1625"/>
      <c r="K903" s="1625"/>
      <c r="L903" s="1625"/>
      <c r="M903" s="1625"/>
      <c r="N903" s="1625"/>
      <c r="O903" s="1625"/>
      <c r="P903" s="1625"/>
      <c r="Q903" s="1625"/>
      <c r="R903" s="1625"/>
      <c r="S903" s="1625"/>
      <c r="T903" s="1625"/>
      <c r="U903" s="1625"/>
      <c r="V903" s="1625"/>
      <c r="W903" s="1625"/>
      <c r="X903" s="1625"/>
      <c r="Y903" s="1625"/>
      <c r="Z903" s="1625"/>
      <c r="AA903" s="1625"/>
      <c r="AB903" s="1626"/>
      <c r="AC903" s="1555"/>
      <c r="AD903" s="1555"/>
      <c r="AE903" s="1555"/>
      <c r="AF903" s="1555"/>
      <c r="AG903" s="1555"/>
      <c r="AH903" s="1555"/>
      <c r="AZ903" s="34"/>
      <c r="BA903" s="34"/>
      <c r="BB903" s="34"/>
      <c r="BC903" s="34"/>
    </row>
    <row r="904" spans="1:58" ht="12.95" customHeight="1">
      <c r="C904" s="1624" t="s">
        <v>956</v>
      </c>
      <c r="D904" s="1625"/>
      <c r="E904" s="1625"/>
      <c r="F904" s="1625"/>
      <c r="G904" s="1625"/>
      <c r="H904" s="1625"/>
      <c r="I904" s="1625"/>
      <c r="J904" s="1625"/>
      <c r="K904" s="1625"/>
      <c r="L904" s="1625"/>
      <c r="M904" s="1625"/>
      <c r="N904" s="1625"/>
      <c r="O904" s="1625"/>
      <c r="P904" s="1625"/>
      <c r="Q904" s="1625"/>
      <c r="R904" s="1625"/>
      <c r="S904" s="1625"/>
      <c r="T904" s="1625"/>
      <c r="U904" s="1625"/>
      <c r="V904" s="1625"/>
      <c r="W904" s="1625"/>
      <c r="X904" s="1625"/>
      <c r="Y904" s="1625"/>
      <c r="Z904" s="1625"/>
      <c r="AA904" s="1625"/>
      <c r="AB904" s="1626"/>
      <c r="AC904" s="1555"/>
      <c r="AD904" s="1555"/>
      <c r="AE904" s="1555"/>
      <c r="AF904" s="1555"/>
      <c r="AG904" s="1555"/>
      <c r="AH904" s="1555"/>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22"/>
      <c r="AA908" s="1288"/>
      <c r="AB908" s="1288"/>
      <c r="AC908" s="1288"/>
      <c r="AD908" s="1288"/>
      <c r="AE908" s="1289"/>
      <c r="AF908" s="533"/>
      <c r="AZ908" s="34"/>
      <c r="BB908" s="30"/>
      <c r="BC908" s="812"/>
      <c r="BD908" s="1587"/>
      <c r="BE908" s="1587"/>
      <c r="BF908" s="14"/>
    </row>
    <row r="909" spans="1:58" ht="12.95" customHeight="1">
      <c r="H909" s="121" t="s">
        <v>239</v>
      </c>
      <c r="I909" s="5"/>
      <c r="J909" s="5"/>
      <c r="K909" s="5"/>
      <c r="L909" s="5"/>
      <c r="M909" s="5"/>
      <c r="N909" s="5"/>
      <c r="O909" s="5"/>
      <c r="P909" s="5"/>
      <c r="Q909" s="5"/>
      <c r="R909" s="5"/>
      <c r="S909" s="5"/>
      <c r="T909" s="5"/>
      <c r="U909" s="5"/>
      <c r="V909" s="5"/>
      <c r="W909" s="5"/>
      <c r="X909" s="5"/>
      <c r="Y909" s="5"/>
      <c r="Z909" s="1422"/>
      <c r="AA909" s="1288"/>
      <c r="AB909" s="1288"/>
      <c r="AC909" s="1288"/>
      <c r="AD909" s="1288"/>
      <c r="AE909" s="1289"/>
      <c r="AZ909" s="34"/>
      <c r="BB909" s="30"/>
      <c r="BC909" s="812"/>
      <c r="BD909" s="1587"/>
      <c r="BE909" s="1587"/>
      <c r="BF909" s="14"/>
    </row>
    <row r="910" spans="1:58" ht="12.95" customHeight="1">
      <c r="H910" s="121" t="s">
        <v>240</v>
      </c>
      <c r="I910" s="5"/>
      <c r="J910" s="5"/>
      <c r="K910" s="5"/>
      <c r="L910" s="5"/>
      <c r="M910" s="5"/>
      <c r="N910" s="5"/>
      <c r="O910" s="5"/>
      <c r="P910" s="5"/>
      <c r="Q910" s="5"/>
      <c r="R910" s="5"/>
      <c r="S910" s="5"/>
      <c r="T910" s="5"/>
      <c r="U910" s="5"/>
      <c r="V910" s="5"/>
      <c r="W910" s="5"/>
      <c r="X910" s="5"/>
      <c r="Y910" s="5"/>
      <c r="Z910" s="1422"/>
      <c r="AA910" s="1288"/>
      <c r="AB910" s="1288"/>
      <c r="AC910" s="1288"/>
      <c r="AD910" s="1288"/>
      <c r="AE910" s="1289"/>
      <c r="AZ910" s="34"/>
      <c r="BB910" s="30"/>
      <c r="BC910" s="812"/>
      <c r="BD910" s="1588"/>
      <c r="BE910" s="1588"/>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19">
        <f>Z908-(Z909+Z910)</f>
        <v>0</v>
      </c>
      <c r="AA911" s="1420"/>
      <c r="AB911" s="1420"/>
      <c r="AC911" s="1420"/>
      <c r="AD911" s="1420"/>
      <c r="AE911" s="1421"/>
      <c r="AZ911" s="34"/>
      <c r="BB911" s="30"/>
      <c r="BC911" s="812"/>
      <c r="BD911" s="1588"/>
      <c r="BE911" s="1588"/>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88"/>
      <c r="BE912" s="1588"/>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87"/>
      <c r="BE913" s="1588"/>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89"/>
      <c r="BE914" s="1589"/>
      <c r="BF914" s="1589"/>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85"/>
      <c r="BE915" s="1585"/>
      <c r="BF915" s="1585"/>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88"/>
      <c r="BE916" s="1588"/>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87"/>
      <c r="BE917" s="1588"/>
      <c r="BF917" s="14"/>
    </row>
    <row r="918" spans="1:58" ht="12.95" customHeight="1">
      <c r="AZ918" s="34"/>
      <c r="BB918" s="30"/>
      <c r="BC918" s="812"/>
    </row>
    <row r="919" spans="1:58" ht="12.95" customHeight="1">
      <c r="A919" s="1492" t="s">
        <v>96</v>
      </c>
      <c r="B919" s="1492"/>
      <c r="C919" s="1492"/>
      <c r="D919" s="1492"/>
      <c r="E919" s="1492"/>
      <c r="F919" s="1492"/>
      <c r="G919" s="1492"/>
      <c r="H919" s="1492"/>
      <c r="I919" s="1492"/>
      <c r="J919" s="1492"/>
      <c r="K919" s="1492"/>
      <c r="L919" s="1492"/>
      <c r="M919" s="1492"/>
      <c r="N919" s="1492"/>
      <c r="O919" s="1492"/>
      <c r="P919" s="1492"/>
      <c r="Q919" s="1492"/>
      <c r="R919" s="1492"/>
      <c r="S919" s="1492"/>
      <c r="T919" s="1492"/>
      <c r="U919" s="1492"/>
      <c r="V919" s="1492"/>
      <c r="W919" s="1492"/>
      <c r="X919" s="1492"/>
      <c r="Y919" s="1492"/>
      <c r="Z919" s="1492"/>
      <c r="AA919" s="1492"/>
      <c r="AB919" s="1492"/>
      <c r="AC919" s="1492"/>
      <c r="AD919" s="1492"/>
      <c r="AE919" s="1492"/>
      <c r="AF919" s="1492"/>
      <c r="AG919" s="1492"/>
      <c r="AH919" s="1492"/>
      <c r="AI919" s="1492"/>
      <c r="AJ919" s="1492"/>
      <c r="AK919" s="1492"/>
      <c r="AL919" s="1492"/>
      <c r="AM919" s="1492"/>
      <c r="AN919" s="1492"/>
      <c r="AO919" s="1492"/>
      <c r="AP919" s="1492"/>
      <c r="AQ919" s="1492"/>
      <c r="AR919" s="1492"/>
      <c r="AS919" s="1492"/>
      <c r="AT919" s="1492"/>
      <c r="AZ919" s="34"/>
      <c r="BA919" s="34"/>
      <c r="BB919" s="30"/>
      <c r="BC919" s="30"/>
      <c r="BD919" s="1587"/>
      <c r="BE919" s="1588"/>
      <c r="BF919" s="907"/>
    </row>
    <row r="920" spans="1:58" ht="12.95" customHeight="1">
      <c r="A920" s="1492"/>
      <c r="B920" s="1492"/>
      <c r="C920" s="1492"/>
      <c r="D920" s="1492"/>
      <c r="E920" s="1492"/>
      <c r="F920" s="1492"/>
      <c r="G920" s="1492"/>
      <c r="H920" s="1492"/>
      <c r="I920" s="1492"/>
      <c r="J920" s="1492"/>
      <c r="K920" s="1492"/>
      <c r="L920" s="1492"/>
      <c r="M920" s="1492"/>
      <c r="N920" s="1492"/>
      <c r="O920" s="1492"/>
      <c r="P920" s="1492"/>
      <c r="Q920" s="1492"/>
      <c r="R920" s="1492"/>
      <c r="S920" s="1492"/>
      <c r="T920" s="1492"/>
      <c r="U920" s="1492"/>
      <c r="V920" s="1492"/>
      <c r="W920" s="1492"/>
      <c r="X920" s="1492"/>
      <c r="Y920" s="1492"/>
      <c r="Z920" s="1492"/>
      <c r="AA920" s="1492"/>
      <c r="AB920" s="1492"/>
      <c r="AC920" s="1492"/>
      <c r="AD920" s="1492"/>
      <c r="AE920" s="1492"/>
      <c r="AF920" s="1492"/>
      <c r="AG920" s="1492"/>
      <c r="AH920" s="1492"/>
      <c r="AI920" s="1492"/>
      <c r="AJ920" s="1492"/>
      <c r="AK920" s="1492"/>
      <c r="AL920" s="1492"/>
      <c r="AM920" s="1492"/>
      <c r="AN920" s="1492"/>
      <c r="AO920" s="1492"/>
      <c r="AP920" s="1492"/>
      <c r="AQ920" s="1492"/>
      <c r="AR920" s="1492"/>
      <c r="AS920" s="1492"/>
      <c r="AT920" s="1492"/>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74" t="s">
        <v>792</v>
      </c>
      <c r="G924" s="1675"/>
      <c r="H924" s="1675"/>
      <c r="I924" s="1675"/>
      <c r="J924" s="1675"/>
      <c r="K924" s="1675"/>
      <c r="L924" s="1675"/>
      <c r="M924" s="1675"/>
      <c r="N924" s="1675"/>
      <c r="O924" s="1675"/>
      <c r="P924" s="1675"/>
      <c r="Q924" s="1675"/>
      <c r="R924" s="1675"/>
      <c r="S924" s="1675"/>
      <c r="T924" s="1676"/>
      <c r="U924" s="1753" t="s">
        <v>31</v>
      </c>
      <c r="V924" s="1590"/>
      <c r="W924" s="1590"/>
      <c r="X924" s="1590"/>
      <c r="Y924" s="1590"/>
      <c r="Z924" s="1590"/>
      <c r="AA924" s="43"/>
      <c r="AB924" s="105"/>
      <c r="AC924" s="105"/>
      <c r="AD924" s="105"/>
      <c r="AE924" s="105"/>
      <c r="AF924" s="106"/>
      <c r="AZ924" s="34"/>
      <c r="BA924" s="34"/>
      <c r="BB924" s="34"/>
      <c r="BC924" s="34"/>
    </row>
    <row r="925" spans="1:58" ht="12.95" customHeight="1">
      <c r="B925" s="2"/>
      <c r="F925" s="1680" t="s">
        <v>818</v>
      </c>
      <c r="G925" s="1681"/>
      <c r="H925" s="1681"/>
      <c r="I925" s="1681"/>
      <c r="J925" s="1681"/>
      <c r="K925" s="1681"/>
      <c r="L925" s="1681"/>
      <c r="M925" s="1681"/>
      <c r="N925" s="1681"/>
      <c r="O925" s="1681"/>
      <c r="P925" s="1681"/>
      <c r="Q925" s="1681"/>
      <c r="R925" s="1681"/>
      <c r="S925" s="1681"/>
      <c r="T925" s="1682"/>
      <c r="U925" s="1680"/>
      <c r="V925" s="1681"/>
      <c r="W925" s="1681"/>
      <c r="X925" s="1681"/>
      <c r="Y925" s="1681"/>
      <c r="Z925" s="1681"/>
      <c r="AA925" s="44"/>
      <c r="AB925" s="4"/>
      <c r="AC925" s="4"/>
      <c r="AD925" s="4"/>
      <c r="AE925" s="4"/>
      <c r="AF925" s="107"/>
      <c r="AZ925" s="34"/>
      <c r="BA925" s="34"/>
      <c r="BB925" s="34"/>
      <c r="BC925" s="34"/>
    </row>
    <row r="926" spans="1:58" ht="12.95" customHeight="1">
      <c r="B926" s="2"/>
      <c r="F926" s="1683"/>
      <c r="G926" s="1592"/>
      <c r="H926" s="1592"/>
      <c r="I926" s="1592"/>
      <c r="J926" s="1592"/>
      <c r="K926" s="1592"/>
      <c r="L926" s="1592"/>
      <c r="M926" s="1592"/>
      <c r="N926" s="1592"/>
      <c r="O926" s="1592"/>
      <c r="P926" s="1592"/>
      <c r="Q926" s="1592"/>
      <c r="R926" s="1592"/>
      <c r="S926" s="1592"/>
      <c r="T926" s="1593"/>
      <c r="U926" s="1683"/>
      <c r="V926" s="1592"/>
      <c r="W926" s="1592"/>
      <c r="X926" s="1592"/>
      <c r="Y926" s="1592"/>
      <c r="Z926" s="1592"/>
      <c r="AA926" s="108"/>
      <c r="AB926" s="1342" t="s">
        <v>391</v>
      </c>
      <c r="AC926" s="1342"/>
      <c r="AD926" s="1342"/>
      <c r="AE926" s="1342"/>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03" t="s">
        <v>545</v>
      </c>
      <c r="V927" s="1358"/>
      <c r="W927" s="1358"/>
      <c r="X927" s="1358"/>
      <c r="Y927" s="1358"/>
      <c r="Z927" s="1359"/>
      <c r="AA927" s="1604">
        <v>16898484</v>
      </c>
      <c r="AB927" s="1512"/>
      <c r="AC927" s="1512"/>
      <c r="AD927" s="1512"/>
      <c r="AE927" s="1512"/>
      <c r="AF927" s="1605"/>
      <c r="AG927" s="1191" t="str">
        <f>IF(NOT(AA927=AW927),"!","")</f>
        <v/>
      </c>
      <c r="AH927" s="3"/>
      <c r="AW927" s="1438">
        <f>SUMIF($M$562:$M$573,"Loan, Tax-Exempt",$AM$562:$AM$573)</f>
        <v>16898484</v>
      </c>
      <c r="AX927" s="1438"/>
      <c r="AY927" s="1438"/>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03" t="s">
        <v>545</v>
      </c>
      <c r="V928" s="1358"/>
      <c r="W928" s="1358"/>
      <c r="X928" s="1358"/>
      <c r="Y928" s="1358"/>
      <c r="Z928" s="1359"/>
      <c r="AA928" s="1604">
        <v>26577042</v>
      </c>
      <c r="AB928" s="1512"/>
      <c r="AC928" s="1512"/>
      <c r="AD928" s="1512"/>
      <c r="AE928" s="1512"/>
      <c r="AF928" s="1605"/>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03" t="s">
        <v>591</v>
      </c>
      <c r="V929" s="1358"/>
      <c r="W929" s="1358"/>
      <c r="X929" s="1358"/>
      <c r="Y929" s="1358"/>
      <c r="Z929" s="1359"/>
      <c r="AA929" s="1604"/>
      <c r="AB929" s="1512"/>
      <c r="AC929" s="1512"/>
      <c r="AD929" s="1512"/>
      <c r="AE929" s="1512"/>
      <c r="AF929" s="1605"/>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03" t="s">
        <v>591</v>
      </c>
      <c r="V930" s="1358"/>
      <c r="W930" s="1358"/>
      <c r="X930" s="1358"/>
      <c r="Y930" s="1358"/>
      <c r="Z930" s="1359"/>
      <c r="AA930" s="1604"/>
      <c r="AB930" s="1512"/>
      <c r="AC930" s="1512"/>
      <c r="AD930" s="1512"/>
      <c r="AE930" s="1512"/>
      <c r="AF930" s="1605"/>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03" t="s">
        <v>591</v>
      </c>
      <c r="V931" s="1358"/>
      <c r="W931" s="1358"/>
      <c r="X931" s="1358"/>
      <c r="Y931" s="1358"/>
      <c r="Z931" s="1359"/>
      <c r="AA931" s="1604"/>
      <c r="AB931" s="1512"/>
      <c r="AC931" s="1512"/>
      <c r="AD931" s="1512"/>
      <c r="AE931" s="1512"/>
      <c r="AF931" s="1605"/>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03" t="s">
        <v>591</v>
      </c>
      <c r="V932" s="1358"/>
      <c r="W932" s="1358"/>
      <c r="X932" s="1358"/>
      <c r="Y932" s="1358"/>
      <c r="Z932" s="1359"/>
      <c r="AA932" s="1604"/>
      <c r="AB932" s="1512"/>
      <c r="AC932" s="1512"/>
      <c r="AD932" s="1512"/>
      <c r="AE932" s="1512"/>
      <c r="AF932" s="1605"/>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03" t="s">
        <v>591</v>
      </c>
      <c r="V933" s="1358"/>
      <c r="W933" s="1358"/>
      <c r="X933" s="1358"/>
      <c r="Y933" s="1358"/>
      <c r="Z933" s="1359"/>
      <c r="AA933" s="1604"/>
      <c r="AB933" s="1512"/>
      <c r="AC933" s="1512"/>
      <c r="AD933" s="1512"/>
      <c r="AE933" s="1512"/>
      <c r="AF933" s="1605"/>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03" t="s">
        <v>591</v>
      </c>
      <c r="V934" s="1358"/>
      <c r="W934" s="1358"/>
      <c r="X934" s="1358"/>
      <c r="Y934" s="1358"/>
      <c r="Z934" s="1359"/>
      <c r="AA934" s="1604"/>
      <c r="AB934" s="1512"/>
      <c r="AC934" s="1512"/>
      <c r="AD934" s="1512"/>
      <c r="AE934" s="1512"/>
      <c r="AF934" s="1605"/>
      <c r="AZ934" s="34"/>
      <c r="BA934" s="34"/>
      <c r="BB934" s="34"/>
      <c r="BC934" s="34"/>
    </row>
    <row r="935" spans="6:55" ht="12.95" customHeight="1">
      <c r="F935" s="1616" t="s">
        <v>2146</v>
      </c>
      <c r="G935" s="1617"/>
      <c r="H935" s="1617"/>
      <c r="I935" s="1617"/>
      <c r="J935" s="1617"/>
      <c r="K935" s="1617"/>
      <c r="L935" s="1617"/>
      <c r="M935" s="1617"/>
      <c r="N935" s="1617"/>
      <c r="O935" s="1617"/>
      <c r="P935" s="1617"/>
      <c r="Q935" s="1617"/>
      <c r="R935" s="1617"/>
      <c r="S935" s="1617"/>
      <c r="T935" s="1618"/>
      <c r="U935" s="1603" t="s">
        <v>591</v>
      </c>
      <c r="V935" s="1358"/>
      <c r="W935" s="1358"/>
      <c r="X935" s="1358"/>
      <c r="Y935" s="1358"/>
      <c r="Z935" s="1359"/>
      <c r="AA935" s="1604"/>
      <c r="AB935" s="1512"/>
      <c r="AC935" s="1512"/>
      <c r="AD935" s="1512"/>
      <c r="AE935" s="1512"/>
      <c r="AF935" s="1605"/>
      <c r="AZ935" s="34"/>
      <c r="BA935" s="34"/>
      <c r="BB935" s="34"/>
      <c r="BC935" s="34"/>
    </row>
    <row r="936" spans="6:55" ht="12.95" customHeight="1">
      <c r="F936" s="1616" t="s">
        <v>679</v>
      </c>
      <c r="G936" s="1617"/>
      <c r="H936" s="1617"/>
      <c r="I936" s="1617"/>
      <c r="J936" s="1617"/>
      <c r="K936" s="1617"/>
      <c r="L936" s="1617"/>
      <c r="M936" s="1617"/>
      <c r="N936" s="1617"/>
      <c r="O936" s="1617"/>
      <c r="P936" s="1617"/>
      <c r="Q936" s="1617"/>
      <c r="R936" s="1617"/>
      <c r="S936" s="1617"/>
      <c r="T936" s="1618"/>
      <c r="U936" s="1603" t="s">
        <v>591</v>
      </c>
      <c r="V936" s="1358"/>
      <c r="W936" s="1358"/>
      <c r="X936" s="1358"/>
      <c r="Y936" s="1358"/>
      <c r="Z936" s="1359"/>
      <c r="AA936" s="1604"/>
      <c r="AB936" s="1512"/>
      <c r="AC936" s="1512"/>
      <c r="AD936" s="1512"/>
      <c r="AE936" s="1512"/>
      <c r="AF936" s="1605"/>
      <c r="AU936" s="2"/>
      <c r="AZ936" s="34"/>
      <c r="BA936" s="34"/>
      <c r="BB936" s="34"/>
      <c r="BC936" s="34"/>
    </row>
    <row r="937" spans="6:55" ht="12.95" customHeight="1">
      <c r="F937" s="1616" t="s">
        <v>2147</v>
      </c>
      <c r="G937" s="1617"/>
      <c r="H937" s="1617"/>
      <c r="I937" s="1617"/>
      <c r="J937" s="1617"/>
      <c r="K937" s="1617"/>
      <c r="L937" s="1617"/>
      <c r="M937" s="1617"/>
      <c r="N937" s="1617"/>
      <c r="O937" s="1617"/>
      <c r="P937" s="1617"/>
      <c r="Q937" s="1617"/>
      <c r="R937" s="1617"/>
      <c r="S937" s="1617"/>
      <c r="T937" s="1618"/>
      <c r="U937" s="1603" t="s">
        <v>591</v>
      </c>
      <c r="V937" s="1358"/>
      <c r="W937" s="1358"/>
      <c r="X937" s="1358"/>
      <c r="Y937" s="1358"/>
      <c r="Z937" s="1359"/>
      <c r="AA937" s="1604"/>
      <c r="AB937" s="1512"/>
      <c r="AC937" s="1512"/>
      <c r="AD937" s="1512"/>
      <c r="AE937" s="1512"/>
      <c r="AF937" s="1605"/>
      <c r="AU937" s="2"/>
      <c r="AZ937" s="34"/>
      <c r="BA937" s="34"/>
      <c r="BB937" s="34"/>
      <c r="BC937" s="34"/>
    </row>
    <row r="938" spans="6:55" ht="12.95" customHeight="1">
      <c r="F938" s="1616" t="s">
        <v>2148</v>
      </c>
      <c r="G938" s="1617"/>
      <c r="H938" s="1617"/>
      <c r="I938" s="1617"/>
      <c r="J938" s="1617"/>
      <c r="K938" s="1617"/>
      <c r="L938" s="1617"/>
      <c r="M938" s="1617"/>
      <c r="N938" s="1617"/>
      <c r="O938" s="1617"/>
      <c r="P938" s="1617"/>
      <c r="Q938" s="1617"/>
      <c r="R938" s="1617"/>
      <c r="S938" s="1617"/>
      <c r="T938" s="1618"/>
      <c r="U938" s="1603" t="s">
        <v>591</v>
      </c>
      <c r="V938" s="1358"/>
      <c r="W938" s="1358"/>
      <c r="X938" s="1358"/>
      <c r="Y938" s="1358"/>
      <c r="Z938" s="1359"/>
      <c r="AA938" s="1604"/>
      <c r="AB938" s="1512"/>
      <c r="AC938" s="1512"/>
      <c r="AD938" s="1512"/>
      <c r="AE938" s="1512"/>
      <c r="AF938" s="1605"/>
      <c r="AU938" s="2"/>
      <c r="AZ938" s="34"/>
      <c r="BA938" s="34"/>
      <c r="BB938" s="34"/>
      <c r="BC938" s="34"/>
    </row>
    <row r="939" spans="6:55" ht="12.95" customHeight="1">
      <c r="F939" s="1616" t="s">
        <v>2149</v>
      </c>
      <c r="G939" s="1617"/>
      <c r="H939" s="1617"/>
      <c r="I939" s="1617"/>
      <c r="J939" s="1617"/>
      <c r="K939" s="1617"/>
      <c r="L939" s="1617"/>
      <c r="M939" s="1617"/>
      <c r="N939" s="1617"/>
      <c r="O939" s="1617"/>
      <c r="P939" s="1617"/>
      <c r="Q939" s="1617"/>
      <c r="R939" s="1617"/>
      <c r="S939" s="1617"/>
      <c r="T939" s="1618"/>
      <c r="U939" s="1603" t="s">
        <v>591</v>
      </c>
      <c r="V939" s="1358"/>
      <c r="W939" s="1358"/>
      <c r="X939" s="1358"/>
      <c r="Y939" s="1358"/>
      <c r="Z939" s="1359"/>
      <c r="AA939" s="1604"/>
      <c r="AB939" s="1512"/>
      <c r="AC939" s="1512"/>
      <c r="AD939" s="1512"/>
      <c r="AE939" s="1512"/>
      <c r="AF939" s="1605"/>
      <c r="AU939" s="2"/>
      <c r="AZ939" s="34"/>
      <c r="BA939" s="34"/>
      <c r="BB939" s="34"/>
      <c r="BC939" s="34"/>
    </row>
    <row r="940" spans="6:55" ht="12.95" customHeight="1">
      <c r="F940" s="1616" t="s">
        <v>2150</v>
      </c>
      <c r="G940" s="1617"/>
      <c r="H940" s="1617"/>
      <c r="I940" s="1617"/>
      <c r="J940" s="1617"/>
      <c r="K940" s="1617"/>
      <c r="L940" s="1617"/>
      <c r="M940" s="1617"/>
      <c r="N940" s="1617"/>
      <c r="O940" s="1617"/>
      <c r="P940" s="1617"/>
      <c r="Q940" s="1617"/>
      <c r="R940" s="1617"/>
      <c r="S940" s="1617"/>
      <c r="T940" s="1618"/>
      <c r="U940" s="1603" t="s">
        <v>591</v>
      </c>
      <c r="V940" s="1358"/>
      <c r="W940" s="1358"/>
      <c r="X940" s="1358"/>
      <c r="Y940" s="1358"/>
      <c r="Z940" s="1359"/>
      <c r="AA940" s="1604"/>
      <c r="AB940" s="1512"/>
      <c r="AC940" s="1512"/>
      <c r="AD940" s="1512"/>
      <c r="AE940" s="1512"/>
      <c r="AF940" s="1605"/>
      <c r="AU940" s="2"/>
      <c r="AZ940" s="34"/>
      <c r="BA940" s="34"/>
      <c r="BB940" s="34"/>
      <c r="BC940" s="34"/>
    </row>
    <row r="941" spans="6:55" ht="12.95" customHeight="1">
      <c r="F941" s="1616" t="s">
        <v>2151</v>
      </c>
      <c r="G941" s="1617"/>
      <c r="H941" s="1617"/>
      <c r="I941" s="1617"/>
      <c r="J941" s="1617"/>
      <c r="K941" s="1617"/>
      <c r="L941" s="1617"/>
      <c r="M941" s="1617"/>
      <c r="N941" s="1617"/>
      <c r="O941" s="1617"/>
      <c r="P941" s="1617"/>
      <c r="Q941" s="1617"/>
      <c r="R941" s="1617"/>
      <c r="S941" s="1617"/>
      <c r="T941" s="1618"/>
      <c r="U941" s="1603" t="s">
        <v>591</v>
      </c>
      <c r="V941" s="1358"/>
      <c r="W941" s="1358"/>
      <c r="X941" s="1358"/>
      <c r="Y941" s="1358"/>
      <c r="Z941" s="1359"/>
      <c r="AA941" s="1604"/>
      <c r="AB941" s="1512"/>
      <c r="AC941" s="1512"/>
      <c r="AD941" s="1512"/>
      <c r="AE941" s="1512"/>
      <c r="AF941" s="1605"/>
      <c r="AZ941" s="30"/>
      <c r="BA941" s="30"/>
    </row>
    <row r="942" spans="6:55" ht="12.95" customHeight="1">
      <c r="F942" s="178" t="s">
        <v>676</v>
      </c>
      <c r="G942" s="5"/>
      <c r="H942" s="5"/>
      <c r="I942" s="5"/>
      <c r="J942" s="5"/>
      <c r="K942" s="5"/>
      <c r="L942" s="5"/>
      <c r="M942" s="5"/>
      <c r="N942" s="5"/>
      <c r="O942" s="5"/>
      <c r="P942" s="5"/>
      <c r="Q942" s="5"/>
      <c r="R942" s="5"/>
      <c r="S942" s="5"/>
      <c r="T942" s="46"/>
      <c r="U942" s="1603" t="s">
        <v>591</v>
      </c>
      <c r="V942" s="1358"/>
      <c r="W942" s="1358"/>
      <c r="X942" s="1358"/>
      <c r="Y942" s="1358"/>
      <c r="Z942" s="1359"/>
      <c r="AA942" s="1604"/>
      <c r="AB942" s="1512"/>
      <c r="AC942" s="1512"/>
      <c r="AD942" s="1512"/>
      <c r="AE942" s="1512"/>
      <c r="AF942" s="1605"/>
    </row>
    <row r="943" spans="6:55" ht="12.95" customHeight="1">
      <c r="F943" s="121" t="s">
        <v>1277</v>
      </c>
      <c r="G943" s="5"/>
      <c r="H943" s="5"/>
      <c r="I943" s="5"/>
      <c r="J943" s="5"/>
      <c r="K943" s="5"/>
      <c r="L943" s="5"/>
      <c r="M943" s="5"/>
      <c r="N943" s="5"/>
      <c r="O943" s="5"/>
      <c r="P943" s="5"/>
      <c r="Q943" s="5"/>
      <c r="R943" s="5"/>
      <c r="S943" s="5"/>
      <c r="T943" s="46"/>
      <c r="U943" s="1603" t="s">
        <v>591</v>
      </c>
      <c r="V943" s="1358"/>
      <c r="W943" s="1358"/>
      <c r="X943" s="1358"/>
      <c r="Y943" s="1358"/>
      <c r="Z943" s="1359"/>
      <c r="AA943" s="1604"/>
      <c r="AB943" s="1512"/>
      <c r="AC943" s="1512"/>
      <c r="AD943" s="1512"/>
      <c r="AE943" s="1512"/>
      <c r="AF943" s="1605"/>
      <c r="AZ943" s="30"/>
      <c r="BA943" s="14"/>
    </row>
    <row r="944" spans="6:55" ht="12.95" customHeight="1">
      <c r="F944" s="66" t="s">
        <v>802</v>
      </c>
      <c r="G944" s="5"/>
      <c r="H944" s="5"/>
      <c r="I944" s="5"/>
      <c r="J944" s="5"/>
      <c r="K944" s="5"/>
      <c r="L944" s="5"/>
      <c r="M944" s="5"/>
      <c r="N944" s="5"/>
      <c r="O944" s="5"/>
      <c r="P944" s="5"/>
      <c r="Q944" s="5"/>
      <c r="R944" s="5"/>
      <c r="S944" s="5"/>
      <c r="T944" s="46"/>
      <c r="U944" s="1603" t="s">
        <v>591</v>
      </c>
      <c r="V944" s="1358"/>
      <c r="W944" s="1358"/>
      <c r="X944" s="1358"/>
      <c r="Y944" s="1358"/>
      <c r="Z944" s="1359"/>
      <c r="AA944" s="1604"/>
      <c r="AB944" s="1512"/>
      <c r="AC944" s="1512"/>
      <c r="AD944" s="1512"/>
      <c r="AE944" s="1512"/>
      <c r="AF944" s="1605"/>
      <c r="AZ944" s="30"/>
      <c r="BA944" s="14"/>
    </row>
    <row r="945" spans="6:55" ht="12.95" customHeight="1">
      <c r="F945" s="1630" t="s">
        <v>2155</v>
      </c>
      <c r="G945" s="1631"/>
      <c r="H945" s="1631"/>
      <c r="I945" s="1631"/>
      <c r="J945" s="1631"/>
      <c r="K945" s="1631"/>
      <c r="L945" s="1631"/>
      <c r="M945" s="1631"/>
      <c r="N945" s="1631"/>
      <c r="O945" s="1631"/>
      <c r="P945" s="1631"/>
      <c r="Q945" s="1631"/>
      <c r="R945" s="1631"/>
      <c r="S945" s="1631"/>
      <c r="T945" s="1632"/>
      <c r="U945" s="1603" t="s">
        <v>591</v>
      </c>
      <c r="V945" s="1358"/>
      <c r="W945" s="1358"/>
      <c r="X945" s="1358"/>
      <c r="Y945" s="1358"/>
      <c r="Z945" s="1359"/>
      <c r="AA945" s="1604"/>
      <c r="AB945" s="1512"/>
      <c r="AC945" s="1512"/>
      <c r="AD945" s="1512"/>
      <c r="AE945" s="1512"/>
      <c r="AF945" s="1605"/>
      <c r="AZ945" s="30"/>
      <c r="BA945" s="14"/>
    </row>
    <row r="946" spans="6:55" ht="12.95" customHeight="1">
      <c r="F946" s="1630" t="s">
        <v>2156</v>
      </c>
      <c r="G946" s="1631"/>
      <c r="H946" s="1631"/>
      <c r="I946" s="1631"/>
      <c r="J946" s="1631"/>
      <c r="K946" s="1631"/>
      <c r="L946" s="1631"/>
      <c r="M946" s="1631"/>
      <c r="N946" s="1631"/>
      <c r="O946" s="1631"/>
      <c r="P946" s="1631"/>
      <c r="Q946" s="1631"/>
      <c r="R946" s="1631"/>
      <c r="S946" s="1631"/>
      <c r="T946" s="1632"/>
      <c r="U946" s="1603" t="s">
        <v>591</v>
      </c>
      <c r="V946" s="1358"/>
      <c r="W946" s="1358"/>
      <c r="X946" s="1358"/>
      <c r="Y946" s="1358"/>
      <c r="Z946" s="1359"/>
      <c r="AA946" s="1604"/>
      <c r="AB946" s="1512"/>
      <c r="AC946" s="1512"/>
      <c r="AD946" s="1512"/>
      <c r="AE946" s="1512"/>
      <c r="AF946" s="1605"/>
      <c r="AZ946" s="30"/>
      <c r="BA946" s="30"/>
    </row>
    <row r="947" spans="6:55" ht="12.95" customHeight="1">
      <c r="F947" s="1616" t="s">
        <v>2152</v>
      </c>
      <c r="G947" s="1617"/>
      <c r="H947" s="1617"/>
      <c r="I947" s="1617"/>
      <c r="J947" s="1617"/>
      <c r="K947" s="1617"/>
      <c r="L947" s="1617"/>
      <c r="M947" s="1617"/>
      <c r="N947" s="1617"/>
      <c r="O947" s="1617"/>
      <c r="P947" s="1617"/>
      <c r="Q947" s="1617"/>
      <c r="R947" s="1617"/>
      <c r="S947" s="1617"/>
      <c r="T947" s="1618"/>
      <c r="U947" s="1603" t="s">
        <v>591</v>
      </c>
      <c r="V947" s="1358"/>
      <c r="W947" s="1358"/>
      <c r="X947" s="1358"/>
      <c r="Y947" s="1358"/>
      <c r="Z947" s="1359"/>
      <c r="AA947" s="1604"/>
      <c r="AB947" s="1512"/>
      <c r="AC947" s="1512"/>
      <c r="AD947" s="1512"/>
      <c r="AE947" s="1512"/>
      <c r="AF947" s="1605"/>
      <c r="AZ947" s="30"/>
      <c r="BA947" s="30"/>
    </row>
    <row r="948" spans="6:55" ht="12.95" customHeight="1">
      <c r="F948" s="1616" t="s">
        <v>2153</v>
      </c>
      <c r="G948" s="1617"/>
      <c r="H948" s="1617"/>
      <c r="I948" s="1617"/>
      <c r="J948" s="1617"/>
      <c r="K948" s="1617"/>
      <c r="L948" s="1617"/>
      <c r="M948" s="1617"/>
      <c r="N948" s="1617"/>
      <c r="O948" s="1617"/>
      <c r="P948" s="1617"/>
      <c r="Q948" s="1617"/>
      <c r="R948" s="1617"/>
      <c r="S948" s="1617"/>
      <c r="T948" s="1618"/>
      <c r="U948" s="1603" t="s">
        <v>591</v>
      </c>
      <c r="V948" s="1358"/>
      <c r="W948" s="1358"/>
      <c r="X948" s="1358"/>
      <c r="Y948" s="1358"/>
      <c r="Z948" s="1359"/>
      <c r="AA948" s="1604"/>
      <c r="AB948" s="1512"/>
      <c r="AC948" s="1512"/>
      <c r="AD948" s="1512"/>
      <c r="AE948" s="1512"/>
      <c r="AF948" s="1605"/>
      <c r="AZ948" s="30"/>
      <c r="BA948" s="30"/>
    </row>
    <row r="949" spans="6:55" ht="12.95" customHeight="1">
      <c r="F949" s="1616" t="s">
        <v>2154</v>
      </c>
      <c r="G949" s="1617"/>
      <c r="H949" s="1617"/>
      <c r="I949" s="1617"/>
      <c r="J949" s="1617"/>
      <c r="K949" s="1617"/>
      <c r="L949" s="1617"/>
      <c r="M949" s="1617"/>
      <c r="N949" s="1617"/>
      <c r="O949" s="1617"/>
      <c r="P949" s="1617"/>
      <c r="Q949" s="1617"/>
      <c r="R949" s="1617"/>
      <c r="S949" s="1617"/>
      <c r="T949" s="1618"/>
      <c r="U949" s="1603" t="s">
        <v>591</v>
      </c>
      <c r="V949" s="1358"/>
      <c r="W949" s="1358"/>
      <c r="X949" s="1358"/>
      <c r="Y949" s="1358"/>
      <c r="Z949" s="1359"/>
      <c r="AA949" s="1604"/>
      <c r="AB949" s="1512"/>
      <c r="AC949" s="1512"/>
      <c r="AD949" s="1512"/>
      <c r="AE949" s="1512"/>
      <c r="AF949" s="1605"/>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03" t="s">
        <v>591</v>
      </c>
      <c r="V950" s="1358"/>
      <c r="W950" s="1358"/>
      <c r="X950" s="1358"/>
      <c r="Y950" s="1358"/>
      <c r="Z950" s="1359"/>
      <c r="AA950" s="1604"/>
      <c r="AB950" s="1512"/>
      <c r="AC950" s="1512"/>
      <c r="AD950" s="1512"/>
      <c r="AE950" s="1512"/>
      <c r="AF950" s="1605"/>
      <c r="AZ950" s="34"/>
      <c r="BA950" s="34"/>
      <c r="BB950" s="14"/>
      <c r="BC950" s="14"/>
    </row>
    <row r="951" spans="6:55" ht="12.95" customHeight="1">
      <c r="F951" s="1630" t="s">
        <v>2157</v>
      </c>
      <c r="G951" s="1631"/>
      <c r="H951" s="1631"/>
      <c r="I951" s="1631"/>
      <c r="J951" s="1631"/>
      <c r="K951" s="1631"/>
      <c r="L951" s="1631"/>
      <c r="M951" s="1631"/>
      <c r="N951" s="1631"/>
      <c r="O951" s="1631"/>
      <c r="P951" s="1631"/>
      <c r="Q951" s="1631"/>
      <c r="R951" s="1631"/>
      <c r="S951" s="1631"/>
      <c r="T951" s="1632"/>
      <c r="U951" s="1603" t="s">
        <v>591</v>
      </c>
      <c r="V951" s="1358"/>
      <c r="W951" s="1358"/>
      <c r="X951" s="1358"/>
      <c r="Y951" s="1358"/>
      <c r="Z951" s="1359"/>
      <c r="AA951" s="1604"/>
      <c r="AB951" s="1512"/>
      <c r="AC951" s="1512"/>
      <c r="AD951" s="1512"/>
      <c r="AE951" s="1512"/>
      <c r="AF951" s="1605"/>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03" t="s">
        <v>591</v>
      </c>
      <c r="V952" s="1358"/>
      <c r="W952" s="1358"/>
      <c r="X952" s="1358"/>
      <c r="Y952" s="1358"/>
      <c r="Z952" s="1359"/>
      <c r="AA952" s="1604"/>
      <c r="AB952" s="1512"/>
      <c r="AC952" s="1512"/>
      <c r="AD952" s="1512"/>
      <c r="AE952" s="1512"/>
      <c r="AF952" s="1605"/>
      <c r="AZ952" s="34"/>
      <c r="BA952" s="34"/>
      <c r="BB952" s="34"/>
      <c r="BC952" s="34"/>
    </row>
    <row r="953" spans="6:55" ht="12.95" customHeight="1">
      <c r="F953" s="1630" t="s">
        <v>2158</v>
      </c>
      <c r="G953" s="1631"/>
      <c r="H953" s="1631"/>
      <c r="I953" s="1631"/>
      <c r="J953" s="1631"/>
      <c r="K953" s="1631"/>
      <c r="L953" s="1631"/>
      <c r="M953" s="1631"/>
      <c r="N953" s="1631"/>
      <c r="O953" s="1631"/>
      <c r="P953" s="1631"/>
      <c r="Q953" s="1631"/>
      <c r="R953" s="1631"/>
      <c r="S953" s="1631"/>
      <c r="T953" s="1632"/>
      <c r="U953" s="1603" t="s">
        <v>591</v>
      </c>
      <c r="V953" s="1358"/>
      <c r="W953" s="1358"/>
      <c r="X953" s="1358"/>
      <c r="Y953" s="1358"/>
      <c r="Z953" s="1359"/>
      <c r="AA953" s="1604"/>
      <c r="AB953" s="1512"/>
      <c r="AC953" s="1512"/>
      <c r="AD953" s="1512"/>
      <c r="AE953" s="1512"/>
      <c r="AF953" s="1605"/>
      <c r="AZ953" s="34"/>
      <c r="BA953" s="34"/>
      <c r="BB953" s="34"/>
      <c r="BC953" s="34"/>
    </row>
    <row r="954" spans="6:55" ht="12.95" customHeight="1">
      <c r="F954" s="45" t="s">
        <v>806</v>
      </c>
      <c r="G954" s="5"/>
      <c r="H954" s="5"/>
      <c r="I954" s="5"/>
      <c r="J954" s="5"/>
      <c r="K954" s="5"/>
      <c r="L954" s="5"/>
      <c r="M954" s="5"/>
      <c r="N954" s="5"/>
      <c r="O954" s="5"/>
      <c r="P954" s="1603" t="s">
        <v>669</v>
      </c>
      <c r="Q954" s="1358"/>
      <c r="R954" s="1358"/>
      <c r="S954" s="1358"/>
      <c r="T954" s="1359"/>
      <c r="U954" s="1603" t="s">
        <v>591</v>
      </c>
      <c r="V954" s="1358"/>
      <c r="W954" s="1358"/>
      <c r="X954" s="1358"/>
      <c r="Y954" s="1358"/>
      <c r="Z954" s="1359"/>
      <c r="AA954" s="1604"/>
      <c r="AB954" s="1512"/>
      <c r="AC954" s="1512"/>
      <c r="AD954" s="1512"/>
      <c r="AE954" s="1512"/>
      <c r="AF954" s="1605"/>
      <c r="AZ954" s="34"/>
      <c r="BA954" s="34"/>
      <c r="BB954" s="34"/>
      <c r="BC954" s="34"/>
    </row>
    <row r="955" spans="6:55" ht="12.95" customHeight="1">
      <c r="F955" s="1616" t="s">
        <v>2145</v>
      </c>
      <c r="G955" s="1617"/>
      <c r="H955" s="1618"/>
      <c r="I955" s="1550" t="s">
        <v>334</v>
      </c>
      <c r="J955" s="1551"/>
      <c r="K955" s="1551"/>
      <c r="L955" s="1551"/>
      <c r="M955" s="1551"/>
      <c r="N955" s="1551"/>
      <c r="O955" s="1551"/>
      <c r="P955" s="1551"/>
      <c r="Q955" s="1551"/>
      <c r="R955" s="1551"/>
      <c r="S955" s="1551"/>
      <c r="T955" s="1552"/>
      <c r="U955" s="1603" t="s">
        <v>591</v>
      </c>
      <c r="V955" s="1358"/>
      <c r="W955" s="1358"/>
      <c r="X955" s="1358"/>
      <c r="Y955" s="1358"/>
      <c r="Z955" s="1359"/>
      <c r="AA955" s="1604"/>
      <c r="AB955" s="1512"/>
      <c r="AC955" s="1512"/>
      <c r="AD955" s="1512"/>
      <c r="AE955" s="1512"/>
      <c r="AF955" s="1605"/>
      <c r="AZ955" s="34"/>
      <c r="BA955" s="34"/>
      <c r="BB955" s="34"/>
      <c r="BC955" s="34"/>
    </row>
    <row r="956" spans="6:55" ht="12.95" customHeight="1">
      <c r="F956" s="45" t="s">
        <v>86</v>
      </c>
      <c r="G956" s="48"/>
      <c r="H956" s="48"/>
      <c r="I956" s="1550" t="s">
        <v>334</v>
      </c>
      <c r="J956" s="1551"/>
      <c r="K956" s="1551"/>
      <c r="L956" s="1551"/>
      <c r="M956" s="1551"/>
      <c r="N956" s="1551"/>
      <c r="O956" s="1551"/>
      <c r="P956" s="1551"/>
      <c r="Q956" s="1551"/>
      <c r="R956" s="1551"/>
      <c r="S956" s="1551"/>
      <c r="T956" s="1552"/>
      <c r="U956" s="1603" t="s">
        <v>591</v>
      </c>
      <c r="V956" s="1358"/>
      <c r="W956" s="1358"/>
      <c r="X956" s="1358"/>
      <c r="Y956" s="1358"/>
      <c r="Z956" s="1359"/>
      <c r="AA956" s="1604"/>
      <c r="AB956" s="1512"/>
      <c r="AC956" s="1512"/>
      <c r="AD956" s="1512"/>
      <c r="AE956" s="1512"/>
      <c r="AF956" s="1605"/>
      <c r="AZ956" s="34"/>
      <c r="BA956" s="34"/>
      <c r="BB956" s="34"/>
      <c r="BC956" s="34"/>
    </row>
    <row r="957" spans="6:55" ht="12.95" customHeight="1">
      <c r="F957" s="45" t="s">
        <v>10</v>
      </c>
      <c r="G957" s="48"/>
      <c r="H957" s="48"/>
      <c r="I957" s="1550" t="s">
        <v>2760</v>
      </c>
      <c r="J957" s="1619"/>
      <c r="K957" s="1619"/>
      <c r="L957" s="1619"/>
      <c r="M957" s="1619"/>
      <c r="N957" s="1619"/>
      <c r="O957" s="1619"/>
      <c r="P957" s="1619"/>
      <c r="Q957" s="1619"/>
      <c r="R957" s="1619"/>
      <c r="S957" s="1619"/>
      <c r="T957" s="1620"/>
      <c r="U957" s="1603" t="s">
        <v>545</v>
      </c>
      <c r="V957" s="1358"/>
      <c r="W957" s="1358"/>
      <c r="X957" s="1358"/>
      <c r="Y957" s="1358"/>
      <c r="Z957" s="1359"/>
      <c r="AA957" s="1604">
        <v>9088225</v>
      </c>
      <c r="AB957" s="1512"/>
      <c r="AC957" s="1512"/>
      <c r="AD957" s="1512"/>
      <c r="AE957" s="1512"/>
      <c r="AF957" s="1605"/>
      <c r="AV957" s="2"/>
      <c r="AW957" s="2"/>
      <c r="AX957" s="2"/>
      <c r="AY957" s="2"/>
      <c r="AZ957" s="34"/>
      <c r="BA957" s="34"/>
      <c r="BB957" s="34"/>
      <c r="BC957" s="34"/>
    </row>
    <row r="958" spans="6:55" ht="12.95" customHeight="1">
      <c r="F958" s="47" t="s">
        <v>170</v>
      </c>
      <c r="G958" s="48"/>
      <c r="H958" s="48"/>
      <c r="I958" s="1693" t="s">
        <v>334</v>
      </c>
      <c r="J958" s="1619"/>
      <c r="K958" s="1619"/>
      <c r="L958" s="1619"/>
      <c r="M958" s="1619"/>
      <c r="N958" s="1619"/>
      <c r="O958" s="1619"/>
      <c r="P958" s="1619"/>
      <c r="Q958" s="1619"/>
      <c r="R958" s="1619"/>
      <c r="S958" s="1619"/>
      <c r="T958" s="1620"/>
      <c r="U958" s="1603" t="s">
        <v>591</v>
      </c>
      <c r="V958" s="1358"/>
      <c r="W958" s="1358"/>
      <c r="X958" s="1358"/>
      <c r="Y958" s="1358"/>
      <c r="Z958" s="1359"/>
      <c r="AA958" s="1604"/>
      <c r="AB958" s="1512"/>
      <c r="AC958" s="1512"/>
      <c r="AD958" s="1512"/>
      <c r="AE958" s="1512"/>
      <c r="AF958" s="1605"/>
      <c r="AU958" s="2"/>
      <c r="AZ958" s="34"/>
      <c r="BA958" s="34"/>
      <c r="BB958" s="34"/>
      <c r="BC958" s="34"/>
    </row>
    <row r="959" spans="6:55" ht="12.95" customHeight="1">
      <c r="F959" s="47" t="s">
        <v>170</v>
      </c>
      <c r="G959" s="48"/>
      <c r="H959" s="48"/>
      <c r="I959" s="1693" t="s">
        <v>334</v>
      </c>
      <c r="J959" s="1619"/>
      <c r="K959" s="1619"/>
      <c r="L959" s="1619"/>
      <c r="M959" s="1619"/>
      <c r="N959" s="1619"/>
      <c r="O959" s="1619"/>
      <c r="P959" s="1619"/>
      <c r="Q959" s="1619"/>
      <c r="R959" s="1619"/>
      <c r="S959" s="1619"/>
      <c r="T959" s="1620"/>
      <c r="U959" s="1603" t="s">
        <v>591</v>
      </c>
      <c r="V959" s="1358"/>
      <c r="W959" s="1358"/>
      <c r="X959" s="1358"/>
      <c r="Y959" s="1358"/>
      <c r="Z959" s="1359"/>
      <c r="AA959" s="1604"/>
      <c r="AB959" s="1512"/>
      <c r="AC959" s="1512"/>
      <c r="AD959" s="1512"/>
      <c r="AE959" s="1512"/>
      <c r="AF959" s="1605"/>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68"/>
      <c r="N964" s="1446"/>
      <c r="O964" s="1446"/>
      <c r="P964" s="1446"/>
      <c r="Q964" s="1446"/>
      <c r="R964" s="1446"/>
      <c r="S964" s="1549"/>
      <c r="U964" s="66" t="s">
        <v>11</v>
      </c>
      <c r="V964" s="5"/>
      <c r="W964" s="5"/>
      <c r="X964" s="5"/>
      <c r="Y964" s="5"/>
      <c r="Z964" s="5"/>
      <c r="AA964" s="5"/>
      <c r="AB964" s="5"/>
      <c r="AC964" s="5"/>
      <c r="AD964" s="46"/>
      <c r="AE964" s="1668"/>
      <c r="AF964" s="1446"/>
      <c r="AG964" s="1446"/>
      <c r="AH964" s="1446"/>
      <c r="AI964" s="1446"/>
      <c r="AJ964" s="1446"/>
      <c r="AK964" s="1549"/>
      <c r="AZ964" s="34"/>
      <c r="BA964" s="34"/>
      <c r="BB964" s="34"/>
      <c r="BC964" s="34"/>
    </row>
    <row r="965" spans="1:64" ht="12.95" customHeight="1">
      <c r="C965" s="66" t="s">
        <v>12</v>
      </c>
      <c r="D965" s="5"/>
      <c r="E965" s="5"/>
      <c r="F965" s="5"/>
      <c r="G965" s="5"/>
      <c r="H965" s="5"/>
      <c r="I965" s="5"/>
      <c r="J965" s="5"/>
      <c r="K965" s="5"/>
      <c r="L965" s="46"/>
      <c r="M965" s="1641"/>
      <c r="N965" s="1281"/>
      <c r="O965" s="1281"/>
      <c r="P965" s="1281"/>
      <c r="Q965" s="1281"/>
      <c r="R965" s="1281"/>
      <c r="S965" s="1642"/>
      <c r="U965" s="66" t="s">
        <v>12</v>
      </c>
      <c r="V965" s="5"/>
      <c r="W965" s="5"/>
      <c r="X965" s="5"/>
      <c r="Y965" s="5"/>
      <c r="Z965" s="5"/>
      <c r="AA965" s="5"/>
      <c r="AB965" s="5"/>
      <c r="AC965" s="5"/>
      <c r="AD965" s="46"/>
      <c r="AE965" s="1641"/>
      <c r="AF965" s="1281"/>
      <c r="AG965" s="1281"/>
      <c r="AH965" s="1281"/>
      <c r="AI965" s="1281"/>
      <c r="AJ965" s="1281"/>
      <c r="AK965" s="1642"/>
      <c r="AZ965" s="34"/>
      <c r="BA965" s="34"/>
      <c r="BB965" s="34"/>
      <c r="BC965" s="34"/>
    </row>
    <row r="966" spans="1:64" ht="12.95" customHeight="1">
      <c r="C966" s="66" t="s">
        <v>880</v>
      </c>
      <c r="D966" s="5"/>
      <c r="E966" s="5"/>
      <c r="J966" s="1627" t="s">
        <v>307</v>
      </c>
      <c r="K966" s="1628"/>
      <c r="L966" s="1628"/>
      <c r="M966" s="1628"/>
      <c r="N966" s="1628"/>
      <c r="O966" s="1628"/>
      <c r="P966" s="1628"/>
      <c r="Q966" s="1628"/>
      <c r="R966" s="1628"/>
      <c r="S966" s="1629"/>
      <c r="U966" s="66" t="s">
        <v>880</v>
      </c>
      <c r="V966" s="5"/>
      <c r="W966" s="5"/>
      <c r="AB966" s="1627" t="s">
        <v>307</v>
      </c>
      <c r="AC966" s="1628"/>
      <c r="AD966" s="1628"/>
      <c r="AE966" s="1628"/>
      <c r="AF966" s="1628"/>
      <c r="AG966" s="1628"/>
      <c r="AH966" s="1628"/>
      <c r="AI966" s="1628"/>
      <c r="AJ966" s="1628"/>
      <c r="AK966" s="1629"/>
      <c r="AZ966" s="34"/>
      <c r="BA966" s="34"/>
      <c r="BB966" s="34"/>
      <c r="BC966" s="34"/>
    </row>
    <row r="967" spans="1:64" ht="12.95" customHeight="1">
      <c r="C967" s="66" t="s">
        <v>13</v>
      </c>
      <c r="D967" s="5"/>
      <c r="E967" s="5"/>
      <c r="F967" s="5"/>
      <c r="G967" s="5"/>
      <c r="H967" s="5"/>
      <c r="I967" s="5"/>
      <c r="J967" s="5"/>
      <c r="K967" s="5"/>
      <c r="L967" s="46"/>
      <c r="M967" s="1621"/>
      <c r="N967" s="1622"/>
      <c r="O967" s="1622"/>
      <c r="P967" s="1622"/>
      <c r="Q967" s="1622"/>
      <c r="R967" s="1622"/>
      <c r="S967" s="1623"/>
      <c r="U967" s="66" t="s">
        <v>13</v>
      </c>
      <c r="V967" s="5"/>
      <c r="W967" s="5"/>
      <c r="X967" s="5"/>
      <c r="Y967" s="5"/>
      <c r="Z967" s="5"/>
      <c r="AA967" s="5"/>
      <c r="AB967" s="5"/>
      <c r="AC967" s="5"/>
      <c r="AD967" s="46"/>
      <c r="AE967" s="1679"/>
      <c r="AF967" s="1622"/>
      <c r="AG967" s="1622"/>
      <c r="AH967" s="1622"/>
      <c r="AI967" s="1622"/>
      <c r="AJ967" s="1622"/>
      <c r="AK967" s="1623"/>
      <c r="AZ967" s="34"/>
      <c r="BA967" s="34"/>
      <c r="BB967" s="34"/>
      <c r="BC967" s="34"/>
    </row>
    <row r="968" spans="1:64" ht="12.95" customHeight="1">
      <c r="C968" s="66" t="s">
        <v>14</v>
      </c>
      <c r="D968" s="5"/>
      <c r="E968" s="5"/>
      <c r="F968" s="5"/>
      <c r="G968" s="5"/>
      <c r="H968" s="5"/>
      <c r="I968" s="5"/>
      <c r="J968" s="5"/>
      <c r="K968" s="5"/>
      <c r="L968" s="46"/>
      <c r="M968" s="1600"/>
      <c r="N968" s="1601"/>
      <c r="O968" s="1601"/>
      <c r="P968" s="1601"/>
      <c r="Q968" s="1601"/>
      <c r="R968" s="1601"/>
      <c r="S968" s="1602"/>
      <c r="U968" s="66" t="s">
        <v>14</v>
      </c>
      <c r="V968" s="5"/>
      <c r="W968" s="5"/>
      <c r="X968" s="5"/>
      <c r="Y968" s="5"/>
      <c r="Z968" s="5"/>
      <c r="AA968" s="5"/>
      <c r="AB968" s="5"/>
      <c r="AC968" s="5"/>
      <c r="AD968" s="46"/>
      <c r="AE968" s="1600"/>
      <c r="AF968" s="1601"/>
      <c r="AG968" s="1601"/>
      <c r="AH968" s="1601"/>
      <c r="AI968" s="1601"/>
      <c r="AJ968" s="1601"/>
      <c r="AK968" s="1602"/>
      <c r="AV968" s="2"/>
      <c r="AW968" s="2"/>
      <c r="AX968" s="2"/>
      <c r="AY968" s="2"/>
      <c r="AZ968" s="34"/>
      <c r="BA968" s="34"/>
      <c r="BB968" s="34"/>
      <c r="BC968" s="34"/>
    </row>
    <row r="969" spans="1:64" ht="12.95" customHeight="1">
      <c r="C969" s="66" t="s">
        <v>15</v>
      </c>
      <c r="D969" s="5"/>
      <c r="E969" s="5"/>
      <c r="F969" s="5"/>
      <c r="G969" s="5"/>
      <c r="H969" s="5"/>
      <c r="I969" s="5"/>
      <c r="J969" s="5"/>
      <c r="K969" s="5"/>
      <c r="L969" s="46"/>
      <c r="M969" s="1604"/>
      <c r="N969" s="1512"/>
      <c r="O969" s="1512"/>
      <c r="P969" s="1512"/>
      <c r="Q969" s="1512"/>
      <c r="R969" s="1512"/>
      <c r="S969" s="1605"/>
      <c r="U969" s="66" t="s">
        <v>15</v>
      </c>
      <c r="V969" s="5"/>
      <c r="W969" s="5"/>
      <c r="X969" s="5"/>
      <c r="Y969" s="5"/>
      <c r="Z969" s="5"/>
      <c r="AA969" s="5"/>
      <c r="AB969" s="5"/>
      <c r="AC969" s="5"/>
      <c r="AD969" s="46"/>
      <c r="AE969" s="1604"/>
      <c r="AF969" s="1512"/>
      <c r="AG969" s="1512"/>
      <c r="AH969" s="1512"/>
      <c r="AI969" s="1512"/>
      <c r="AJ969" s="1512"/>
      <c r="AK969" s="1605"/>
      <c r="AV969" s="2"/>
      <c r="AW969" s="2"/>
      <c r="AX969" s="2"/>
      <c r="AY969" s="2"/>
      <c r="AZ969" s="34"/>
      <c r="BA969" s="34"/>
      <c r="BB969" s="34"/>
      <c r="BC969" s="34"/>
    </row>
    <row r="970" spans="1:64" ht="12.95" customHeight="1">
      <c r="C970" s="66" t="s">
        <v>16</v>
      </c>
      <c r="D970" s="5"/>
      <c r="E970" s="5"/>
      <c r="F970" s="5"/>
      <c r="G970" s="5"/>
      <c r="H970" s="5"/>
      <c r="I970" s="5"/>
      <c r="J970" s="5"/>
      <c r="K970" s="5"/>
      <c r="L970" s="46"/>
      <c r="M970" s="1604"/>
      <c r="N970" s="1512"/>
      <c r="O970" s="1512"/>
      <c r="P970" s="1512"/>
      <c r="Q970" s="1512"/>
      <c r="R970" s="1512"/>
      <c r="S970" s="1605"/>
      <c r="U970" s="66" t="s">
        <v>16</v>
      </c>
      <c r="V970" s="5"/>
      <c r="W970" s="5"/>
      <c r="X970" s="5"/>
      <c r="Y970" s="5"/>
      <c r="Z970" s="5"/>
      <c r="AA970" s="5"/>
      <c r="AB970" s="5"/>
      <c r="AC970" s="5"/>
      <c r="AD970" s="46"/>
      <c r="AE970" s="1604"/>
      <c r="AF970" s="1512"/>
      <c r="AG970" s="1512"/>
      <c r="AH970" s="1512"/>
      <c r="AI970" s="1512"/>
      <c r="AJ970" s="1512"/>
      <c r="AK970" s="1605"/>
      <c r="AV970" s="2"/>
      <c r="AW970" s="2"/>
      <c r="AX970" s="2"/>
      <c r="AY970" s="2"/>
      <c r="AZ970" s="34"/>
      <c r="BB970" s="34"/>
      <c r="BC970" s="34"/>
    </row>
    <row r="971" spans="1:64" ht="12.95" customHeight="1">
      <c r="C971" s="121" t="s">
        <v>1650</v>
      </c>
      <c r="D971" s="5"/>
      <c r="E971" s="5"/>
      <c r="F971" s="5"/>
      <c r="G971" s="5"/>
      <c r="H971" s="5"/>
      <c r="I971" s="5"/>
      <c r="J971" s="5"/>
      <c r="K971" s="5"/>
      <c r="L971" s="46"/>
      <c r="M971" s="1760"/>
      <c r="N971" s="1761"/>
      <c r="O971" s="1761"/>
      <c r="P971" s="1761"/>
      <c r="Q971" s="1761"/>
      <c r="R971" s="1761"/>
      <c r="S971" s="1762"/>
      <c r="U971" s="121" t="s">
        <v>1650</v>
      </c>
      <c r="V971" s="5"/>
      <c r="W971" s="5"/>
      <c r="X971" s="5"/>
      <c r="Y971" s="5"/>
      <c r="Z971" s="5"/>
      <c r="AA971" s="5"/>
      <c r="AB971" s="5"/>
      <c r="AC971" s="5"/>
      <c r="AD971" s="46"/>
      <c r="AE971" s="1760"/>
      <c r="AF971" s="1761"/>
      <c r="AG971" s="1761"/>
      <c r="AH971" s="1761"/>
      <c r="AI971" s="1761"/>
      <c r="AJ971" s="1761"/>
      <c r="AK971" s="1762"/>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13"/>
      <c r="N976" s="1614"/>
      <c r="O976" s="1614"/>
      <c r="P976" s="1614"/>
      <c r="Q976" s="1614"/>
      <c r="R976" s="1614"/>
      <c r="S976" s="1615"/>
      <c r="T976" s="66" t="s">
        <v>790</v>
      </c>
      <c r="U976" s="5"/>
      <c r="V976" s="5"/>
      <c r="W976" s="5"/>
      <c r="X976" s="5"/>
      <c r="Y976" s="5"/>
      <c r="Z976" s="46"/>
      <c r="AA976" s="1613"/>
      <c r="AB976" s="1614"/>
      <c r="AC976" s="1614"/>
      <c r="AD976" s="1614"/>
      <c r="AE976" s="1614"/>
      <c r="AF976" s="1614"/>
      <c r="AG976" s="161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13"/>
      <c r="N977" s="1614"/>
      <c r="O977" s="1614"/>
      <c r="P977" s="1614"/>
      <c r="Q977" s="1614"/>
      <c r="R977" s="1614"/>
      <c r="S977" s="1615"/>
      <c r="T977" s="66" t="s">
        <v>789</v>
      </c>
      <c r="U977" s="5"/>
      <c r="V977" s="5"/>
      <c r="W977" s="5"/>
      <c r="X977" s="5"/>
      <c r="Y977" s="5"/>
      <c r="Z977" s="46"/>
      <c r="AA977" s="1613"/>
      <c r="AB977" s="1614"/>
      <c r="AC977" s="1614"/>
      <c r="AD977" s="1614"/>
      <c r="AE977" s="1614"/>
      <c r="AF977" s="1614"/>
      <c r="AG977" s="161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71" t="s">
        <v>591</v>
      </c>
      <c r="N978" s="1672"/>
      <c r="O978" s="1672"/>
      <c r="P978" s="1672"/>
      <c r="Q978" s="1672"/>
      <c r="R978" s="1672"/>
      <c r="S978" s="1673"/>
      <c r="T978" s="45" t="s">
        <v>337</v>
      </c>
      <c r="U978" s="5"/>
      <c r="V978" s="5"/>
      <c r="W978" s="5"/>
      <c r="X978" s="5"/>
      <c r="Y978" s="5"/>
      <c r="Z978" s="46"/>
      <c r="AA978" s="1613"/>
      <c r="AB978" s="1614"/>
      <c r="AC978" s="1614"/>
      <c r="AD978" s="1614"/>
      <c r="AE978" s="1614"/>
      <c r="AF978" s="1614"/>
      <c r="AG978" s="161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13"/>
      <c r="N979" s="1614"/>
      <c r="O979" s="1614"/>
      <c r="P979" s="1614"/>
      <c r="Q979" s="1614"/>
      <c r="R979" s="1614"/>
      <c r="S979" s="1615"/>
      <c r="T979" s="45" t="s">
        <v>338</v>
      </c>
      <c r="U979" s="5"/>
      <c r="V979" s="5"/>
      <c r="W979" s="5"/>
      <c r="X979" s="5"/>
      <c r="Y979" s="5"/>
      <c r="Z979" s="46"/>
      <c r="AA979" s="1613"/>
      <c r="AB979" s="1614"/>
      <c r="AC979" s="1614"/>
      <c r="AD979" s="1614"/>
      <c r="AE979" s="1614"/>
      <c r="AF979" s="1614"/>
      <c r="AG979" s="161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13"/>
      <c r="N980" s="1614"/>
      <c r="O980" s="1614"/>
      <c r="P980" s="1614"/>
      <c r="Q980" s="1614"/>
      <c r="R980" s="1614"/>
      <c r="S980" s="1615"/>
      <c r="T980" s="45" t="s">
        <v>376</v>
      </c>
      <c r="U980" s="5"/>
      <c r="V980" s="5"/>
      <c r="W980" s="5"/>
      <c r="X980" s="5"/>
      <c r="Y980" s="5"/>
      <c r="Z980" s="46"/>
      <c r="AA980" s="1613"/>
      <c r="AB980" s="1614"/>
      <c r="AC980" s="1614"/>
      <c r="AD980" s="1614"/>
      <c r="AE980" s="1614"/>
      <c r="AF980" s="1614"/>
      <c r="AG980" s="161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627" t="s">
        <v>307</v>
      </c>
      <c r="N981" s="1628"/>
      <c r="O981" s="1628"/>
      <c r="P981" s="1628"/>
      <c r="Q981" s="1628"/>
      <c r="R981" s="1628"/>
      <c r="S981" s="1629"/>
      <c r="T981" s="1690"/>
      <c r="U981" s="1691"/>
      <c r="V981" s="1691"/>
      <c r="W981" s="1691"/>
      <c r="X981" s="1691"/>
      <c r="Y981" s="1691"/>
      <c r="Z981" s="1692"/>
      <c r="AA981" s="1613"/>
      <c r="AB981" s="1614"/>
      <c r="AC981" s="1614"/>
      <c r="AD981" s="1614"/>
      <c r="AE981" s="1614"/>
      <c r="AF981" s="1614"/>
      <c r="AG981" s="161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13"/>
      <c r="N982" s="1614"/>
      <c r="O982" s="1614"/>
      <c r="P982" s="1614"/>
      <c r="Q982" s="1614"/>
      <c r="R982" s="1614"/>
      <c r="S982" s="1615"/>
      <c r="T982" s="1690"/>
      <c r="U982" s="1691"/>
      <c r="V982" s="1691"/>
      <c r="W982" s="1691"/>
      <c r="X982" s="1691"/>
      <c r="Y982" s="1691"/>
      <c r="Z982" s="1692"/>
      <c r="AA982" s="1613"/>
      <c r="AB982" s="1614"/>
      <c r="AC982" s="1614"/>
      <c r="AD982" s="1614"/>
      <c r="AE982" s="1614"/>
      <c r="AF982" s="1614"/>
      <c r="AG982" s="161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11" t="s">
        <v>669</v>
      </c>
      <c r="P983" s="1412"/>
      <c r="Q983" s="92"/>
      <c r="R983" s="92"/>
      <c r="S983" s="93"/>
      <c r="T983" s="41" t="s">
        <v>170</v>
      </c>
      <c r="U983" s="42"/>
      <c r="V983" s="42"/>
      <c r="W983" s="1746" t="s">
        <v>334</v>
      </c>
      <c r="X983" s="1747"/>
      <c r="Y983" s="1747"/>
      <c r="Z983" s="1747"/>
      <c r="AA983" s="1747"/>
      <c r="AB983" s="1747"/>
      <c r="AC983" s="1747"/>
      <c r="AD983" s="1747"/>
      <c r="AE983" s="1747"/>
      <c r="AF983" s="1747"/>
      <c r="AG983" s="1748"/>
      <c r="AU983" s="68"/>
      <c r="AV983" s="95"/>
      <c r="AW983" s="95"/>
      <c r="AX983" s="95"/>
      <c r="AY983" s="95"/>
      <c r="AZ983" s="34"/>
      <c r="BB983" s="34"/>
      <c r="BC983" s="34"/>
      <c r="BD983" s="34"/>
      <c r="BE983" s="34"/>
      <c r="BF983" s="34"/>
      <c r="BG983" s="34"/>
      <c r="BH983" s="34"/>
      <c r="BI983" s="34"/>
      <c r="BJ983" s="34"/>
      <c r="BK983" s="34"/>
      <c r="BL983" s="34"/>
    </row>
    <row r="984" spans="1:64" ht="12.95" customHeight="1">
      <c r="F984" s="1553" t="s">
        <v>33</v>
      </c>
      <c r="G984" s="1346"/>
      <c r="H984" s="1346"/>
      <c r="I984" s="1346"/>
      <c r="J984" s="1346"/>
      <c r="K984" s="1346"/>
      <c r="L984" s="1346"/>
      <c r="M984" s="1613"/>
      <c r="N984" s="1614"/>
      <c r="O984" s="1614"/>
      <c r="P984" s="1614"/>
      <c r="Q984" s="1614"/>
      <c r="R984" s="1614"/>
      <c r="S984" s="1615"/>
      <c r="T984" s="47"/>
      <c r="U984" s="48"/>
      <c r="V984" s="48"/>
      <c r="W984" s="48"/>
      <c r="X984" s="48"/>
      <c r="Y984" s="48"/>
      <c r="Z984" s="124" t="s">
        <v>134</v>
      </c>
      <c r="AA984" s="1754"/>
      <c r="AB984" s="1755"/>
      <c r="AC984" s="1755"/>
      <c r="AD984" s="1755"/>
      <c r="AE984" s="1755"/>
      <c r="AF984" s="1755"/>
      <c r="AG984" s="1756"/>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88"/>
      <c r="BH985" s="1588"/>
      <c r="BI985" s="1588"/>
      <c r="BJ985" s="1588"/>
      <c r="BK985" s="1588"/>
      <c r="BL985" s="1588"/>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92" t="s">
        <v>548</v>
      </c>
      <c r="B988" s="1492"/>
      <c r="C988" s="1492"/>
      <c r="D988" s="1492"/>
      <c r="E988" s="1492"/>
      <c r="F988" s="1492"/>
      <c r="G988" s="1492"/>
      <c r="H988" s="1492"/>
      <c r="I988" s="1492"/>
      <c r="J988" s="1492"/>
      <c r="K988" s="1492"/>
      <c r="L988" s="1492"/>
      <c r="M988" s="1492"/>
      <c r="N988" s="1492"/>
      <c r="O988" s="1492"/>
      <c r="P988" s="1492"/>
      <c r="Q988" s="1492"/>
      <c r="R988" s="1492"/>
      <c r="S988" s="1492"/>
      <c r="T988" s="1492"/>
      <c r="U988" s="1492"/>
      <c r="V988" s="1492"/>
      <c r="W988" s="1492"/>
      <c r="X988" s="1492"/>
      <c r="Y988" s="1492"/>
      <c r="Z988" s="1492"/>
      <c r="AA988" s="1492"/>
      <c r="AB988" s="1492"/>
      <c r="AC988" s="1492"/>
      <c r="AD988" s="1492"/>
      <c r="AE988" s="1492"/>
      <c r="AF988" s="1492"/>
      <c r="AG988" s="1492"/>
      <c r="AH988" s="1492"/>
      <c r="AI988" s="1492"/>
      <c r="AJ988" s="1492"/>
      <c r="AK988" s="1492"/>
      <c r="AL988" s="1492"/>
      <c r="AM988" s="1492"/>
      <c r="AN988" s="1492"/>
      <c r="AO988" s="1492"/>
      <c r="AP988" s="1492"/>
      <c r="AQ988" s="1492"/>
      <c r="AR988" s="1492"/>
      <c r="AS988" s="1492"/>
      <c r="AT988" s="1492"/>
      <c r="AU988" s="68"/>
      <c r="AV988" s="68"/>
      <c r="AW988" s="68"/>
      <c r="AX988" s="68"/>
      <c r="AY988" s="68"/>
      <c r="AZ988" s="14"/>
      <c r="BA988" s="14"/>
      <c r="BB988" s="908"/>
      <c r="BC988" s="908"/>
    </row>
    <row r="989" spans="1:64" ht="12.95" customHeight="1">
      <c r="A989" s="1492"/>
      <c r="B989" s="1492"/>
      <c r="C989" s="1492"/>
      <c r="D989" s="1492"/>
      <c r="E989" s="1492"/>
      <c r="F989" s="1492"/>
      <c r="G989" s="1492"/>
      <c r="H989" s="1492"/>
      <c r="I989" s="1492"/>
      <c r="J989" s="1492"/>
      <c r="K989" s="1492"/>
      <c r="L989" s="1492"/>
      <c r="M989" s="1492"/>
      <c r="N989" s="1492"/>
      <c r="O989" s="1492"/>
      <c r="P989" s="1492"/>
      <c r="Q989" s="1492"/>
      <c r="R989" s="1492"/>
      <c r="S989" s="1492"/>
      <c r="T989" s="1492"/>
      <c r="U989" s="1492"/>
      <c r="V989" s="1492"/>
      <c r="W989" s="1492"/>
      <c r="X989" s="1492"/>
      <c r="Y989" s="1492"/>
      <c r="Z989" s="1492"/>
      <c r="AA989" s="1492"/>
      <c r="AB989" s="1492"/>
      <c r="AC989" s="1492"/>
      <c r="AD989" s="1492"/>
      <c r="AE989" s="1492"/>
      <c r="AF989" s="1492"/>
      <c r="AG989" s="1492"/>
      <c r="AH989" s="1492"/>
      <c r="AI989" s="1492"/>
      <c r="AJ989" s="1492"/>
      <c r="AK989" s="1492"/>
      <c r="AL989" s="1492"/>
      <c r="AM989" s="1492"/>
      <c r="AN989" s="1492"/>
      <c r="AO989" s="1492"/>
      <c r="AP989" s="1492"/>
      <c r="AQ989" s="1492"/>
      <c r="AR989" s="1492"/>
      <c r="AS989" s="1492"/>
      <c r="AT989" s="1492"/>
      <c r="AU989" s="68"/>
      <c r="AV989" s="68"/>
      <c r="AW989" s="68"/>
      <c r="AX989" s="68"/>
      <c r="AY989" s="68"/>
      <c r="AZ989" s="30"/>
      <c r="BA989" s="14"/>
      <c r="BB989" s="14"/>
      <c r="BC989" s="14"/>
    </row>
    <row r="990" spans="1:64" ht="12.95" customHeight="1">
      <c r="A990" s="1492"/>
      <c r="B990" s="1492"/>
      <c r="C990" s="1492"/>
      <c r="D990" s="1492"/>
      <c r="E990" s="1492"/>
      <c r="F990" s="1492"/>
      <c r="G990" s="1492"/>
      <c r="H990" s="1492"/>
      <c r="I990" s="1492"/>
      <c r="J990" s="1492"/>
      <c r="K990" s="1492"/>
      <c r="L990" s="1492"/>
      <c r="M990" s="1492"/>
      <c r="N990" s="1492"/>
      <c r="O990" s="1492"/>
      <c r="P990" s="1492"/>
      <c r="Q990" s="1492"/>
      <c r="R990" s="1492"/>
      <c r="S990" s="1492"/>
      <c r="T990" s="1492"/>
      <c r="U990" s="1492"/>
      <c r="V990" s="1492"/>
      <c r="W990" s="1492"/>
      <c r="X990" s="1492"/>
      <c r="Y990" s="1492"/>
      <c r="Z990" s="1492"/>
      <c r="AA990" s="1492"/>
      <c r="AB990" s="1492"/>
      <c r="AC990" s="1492"/>
      <c r="AD990" s="1492"/>
      <c r="AE990" s="1492"/>
      <c r="AF990" s="1492"/>
      <c r="AG990" s="1492"/>
      <c r="AH990" s="1492"/>
      <c r="AI990" s="1492"/>
      <c r="AJ990" s="1492"/>
      <c r="AK990" s="1492"/>
      <c r="AL990" s="1492"/>
      <c r="AM990" s="1492"/>
      <c r="AN990" s="1492"/>
      <c r="AO990" s="1492"/>
      <c r="AP990" s="1492"/>
      <c r="AQ990" s="1492"/>
      <c r="AR990" s="1492"/>
      <c r="AS990" s="1492"/>
      <c r="AT990" s="1492"/>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43" t="s">
        <v>638</v>
      </c>
      <c r="E994" s="1744"/>
      <c r="F994" s="1744"/>
      <c r="G994" s="1744"/>
      <c r="H994" s="1744"/>
      <c r="I994" s="1744"/>
      <c r="J994" s="1744"/>
      <c r="K994" s="1744"/>
      <c r="L994" s="1744"/>
      <c r="M994" s="1744"/>
      <c r="N994" s="1744"/>
      <c r="O994" s="1744"/>
      <c r="P994" s="1744"/>
      <c r="Q994" s="1745"/>
      <c r="R994" s="1743" t="s">
        <v>639</v>
      </c>
      <c r="S994" s="1744"/>
      <c r="T994" s="1744"/>
      <c r="U994" s="1744"/>
      <c r="V994" s="1744"/>
      <c r="W994" s="1744"/>
      <c r="X994" s="1744"/>
      <c r="Y994" s="1744"/>
      <c r="Z994" s="1744"/>
      <c r="AA994" s="1745"/>
      <c r="AB994" s="1743" t="s">
        <v>640</v>
      </c>
      <c r="AC994" s="1744"/>
      <c r="AD994" s="1744"/>
      <c r="AE994" s="1744"/>
      <c r="AF994" s="1744"/>
      <c r="AG994" s="1744"/>
      <c r="AH994" s="1744"/>
      <c r="AI994" s="1745"/>
      <c r="AJ994" s="1743" t="s">
        <v>641</v>
      </c>
      <c r="AK994" s="1744"/>
      <c r="AL994" s="1744"/>
      <c r="AM994" s="1744"/>
      <c r="AN994" s="1744"/>
      <c r="AO994" s="1744"/>
      <c r="AP994" s="1744"/>
      <c r="AQ994" s="1745"/>
      <c r="AR994" s="68"/>
      <c r="AS994" s="68"/>
      <c r="AT994" s="68"/>
      <c r="AU994" s="68"/>
      <c r="AV994" s="68"/>
      <c r="AW994" s="68"/>
      <c r="AX994" s="68"/>
      <c r="AY994" s="68"/>
      <c r="AZ994" s="30"/>
      <c r="BB994" s="14"/>
      <c r="BC994" s="14"/>
    </row>
    <row r="995" spans="1:55" ht="12.95" customHeight="1">
      <c r="A995" s="14"/>
      <c r="B995" s="73"/>
      <c r="C995" s="925"/>
      <c r="D995" s="1577" t="s">
        <v>633</v>
      </c>
      <c r="E995" s="1578"/>
      <c r="F995" s="1578"/>
      <c r="G995" s="1578"/>
      <c r="H995" s="1578"/>
      <c r="I995" s="1578"/>
      <c r="J995" s="1578"/>
      <c r="K995" s="1578"/>
      <c r="L995" s="1578"/>
      <c r="M995" s="1578"/>
      <c r="N995" s="1578"/>
      <c r="O995" s="1578"/>
      <c r="P995" s="1578"/>
      <c r="Q995" s="1579"/>
      <c r="R995" s="1637">
        <f>IF(ISNA(IF($CU$122="4%",(INDEX($CS$160:$CW$217,MATCH($DG$122,$CR$160:$CR$217,0),MATCH(D995,$CS$159:$CW$159,0))),(INDEX($CZ$160:$DD$217,MATCH($DG$122,$CY$160:$CY$217,0),MATCH(D995,$CZ$159:$DD$159,0))))),0,IF($CU$122="4%",(INDEX($CS$160:$CW$217,MATCH($DG$122,$CR$160:$CR$217,0),MATCH(D995,$CS$159:$CW$159,0))),(INDEX($CZ$160:$DD$217,MATCH($DG$122,$CY$160:$CY$217,0),MATCH(D995,$CZ$159:$DD$159,0)))))</f>
        <v>360075</v>
      </c>
      <c r="S995" s="1637"/>
      <c r="T995" s="1637"/>
      <c r="U995" s="1637"/>
      <c r="V995" s="1637"/>
      <c r="W995" s="1637"/>
      <c r="X995" s="1637"/>
      <c r="Y995" s="1637"/>
      <c r="Z995" s="1637"/>
      <c r="AA995" s="1637"/>
      <c r="AB995" s="1643">
        <f>CP810</f>
        <v>0</v>
      </c>
      <c r="AC995" s="1644"/>
      <c r="AD995" s="1644"/>
      <c r="AE995" s="1644"/>
      <c r="AF995" s="1644"/>
      <c r="AG995" s="1644"/>
      <c r="AH995" s="1644"/>
      <c r="AI995" s="1645"/>
      <c r="AJ995" s="1638">
        <f>IF(ISERROR((R995*AB995)),0,(R995*AB995))</f>
        <v>0</v>
      </c>
      <c r="AK995" s="1639"/>
      <c r="AL995" s="1639"/>
      <c r="AM995" s="1639"/>
      <c r="AN995" s="1639"/>
      <c r="AO995" s="1639"/>
      <c r="AP995" s="1639"/>
      <c r="AQ995" s="1640"/>
      <c r="AR995" s="68"/>
      <c r="AS995" s="68"/>
      <c r="AT995" s="68"/>
      <c r="AU995" s="68"/>
      <c r="AV995" s="68"/>
      <c r="AW995" s="68"/>
      <c r="AX995" s="68"/>
      <c r="AY995" s="68"/>
      <c r="AZ995" s="30"/>
      <c r="BB995" s="14"/>
      <c r="BC995" s="14"/>
    </row>
    <row r="996" spans="1:55" ht="12.95" customHeight="1">
      <c r="A996" s="14"/>
      <c r="B996" s="73"/>
      <c r="C996" s="83"/>
      <c r="D996" s="1577" t="s">
        <v>325</v>
      </c>
      <c r="E996" s="1578"/>
      <c r="F996" s="1578"/>
      <c r="G996" s="1578"/>
      <c r="H996" s="1578"/>
      <c r="I996" s="1578"/>
      <c r="J996" s="1578"/>
      <c r="K996" s="1578"/>
      <c r="L996" s="1578"/>
      <c r="M996" s="1578"/>
      <c r="N996" s="1578"/>
      <c r="O996" s="1578"/>
      <c r="P996" s="1578"/>
      <c r="Q996" s="1579"/>
      <c r="R996" s="1637">
        <f>IF(ISNA(IF($CU$122="4%",(INDEX($CS$160:$CW$217,MATCH($DG$122,$CR$160:$CR$217,0),MATCH(D996,$CS$159:$CW$159,0))),(INDEX($CZ$160:$DD$217,MATCH($DG$122,$CY$160:$CY$217,0),MATCH(D996,$CZ$159:$DD$159,0))))),0,IF($CU$122="4%",(INDEX($CS$160:$CW$217,MATCH($DG$122,$CR$160:$CR$217,0),MATCH(D996,$CS$159:$CW$159,0))),(INDEX($CZ$160:$DD$217,MATCH($DG$122,$CY$160:$CY$217,0),MATCH(D996,$CZ$159:$DD$159,0)))))</f>
        <v>415163</v>
      </c>
      <c r="S996" s="1637"/>
      <c r="T996" s="1637"/>
      <c r="U996" s="1637"/>
      <c r="V996" s="1637"/>
      <c r="W996" s="1637"/>
      <c r="X996" s="1637"/>
      <c r="Y996" s="1637"/>
      <c r="Z996" s="1637"/>
      <c r="AA996" s="1637"/>
      <c r="AB996" s="1643">
        <f>CU810</f>
        <v>144</v>
      </c>
      <c r="AC996" s="1644"/>
      <c r="AD996" s="1644"/>
      <c r="AE996" s="1644"/>
      <c r="AF996" s="1644"/>
      <c r="AG996" s="1644"/>
      <c r="AH996" s="1644"/>
      <c r="AI996" s="1645"/>
      <c r="AJ996" s="1638">
        <f>IF(ISERROR((R996*AB996)),0,(R996*AB996))</f>
        <v>59783472</v>
      </c>
      <c r="AK996" s="1639"/>
      <c r="AL996" s="1639"/>
      <c r="AM996" s="1639"/>
      <c r="AN996" s="1639"/>
      <c r="AO996" s="1639"/>
      <c r="AP996" s="1639"/>
      <c r="AQ996" s="1640"/>
      <c r="AR996" s="68"/>
      <c r="AS996" s="68"/>
      <c r="AT996" s="68"/>
      <c r="AU996" s="68"/>
      <c r="AV996" s="68"/>
      <c r="AW996" s="68"/>
      <c r="AX996" s="68"/>
      <c r="AY996" s="68"/>
      <c r="AZ996" s="30"/>
      <c r="BB996" s="14"/>
      <c r="BC996" s="14"/>
    </row>
    <row r="997" spans="1:55" ht="12.95" customHeight="1">
      <c r="A997" s="14"/>
      <c r="B997" s="73"/>
      <c r="C997" s="83"/>
      <c r="D997" s="1577" t="s">
        <v>163</v>
      </c>
      <c r="E997" s="1578"/>
      <c r="F997" s="1578"/>
      <c r="G997" s="1578"/>
      <c r="H997" s="1578"/>
      <c r="I997" s="1578"/>
      <c r="J997" s="1578"/>
      <c r="K997" s="1578"/>
      <c r="L997" s="1578"/>
      <c r="M997" s="1578"/>
      <c r="N997" s="1578"/>
      <c r="O997" s="1578"/>
      <c r="P997" s="1578"/>
      <c r="Q997" s="1579"/>
      <c r="R997" s="1637">
        <f>IF(ISNA(IF($CU$122="4%",(INDEX($CS$160:$CW$217,MATCH($DG$122,$CR$160:$CR$217,0),MATCH(D997,$CS$159:$CW$159,0))),(INDEX($CZ$160:$DD$217,MATCH($DG$122,$CY$160:$CY$217,0),MATCH(D997,$CZ$159:$DD$159,0))))),0,IF($CU$122="4%",(INDEX($CS$160:$CW$217,MATCH($DG$122,$CR$160:$CR$217,0),MATCH(D997,$CS$159:$CW$159,0))),(INDEX($CZ$160:$DD$217,MATCH($DG$122,$CY$160:$CY$217,0),MATCH(D997,$CZ$159:$DD$159,0)))))</f>
        <v>500800</v>
      </c>
      <c r="S997" s="1637"/>
      <c r="T997" s="1637"/>
      <c r="U997" s="1637"/>
      <c r="V997" s="1637"/>
      <c r="W997" s="1637"/>
      <c r="X997" s="1637"/>
      <c r="Y997" s="1637"/>
      <c r="Z997" s="1637"/>
      <c r="AA997" s="1637"/>
      <c r="AB997" s="1643">
        <f>CZ810</f>
        <v>78</v>
      </c>
      <c r="AC997" s="1644"/>
      <c r="AD997" s="1644"/>
      <c r="AE997" s="1644"/>
      <c r="AF997" s="1644"/>
      <c r="AG997" s="1644"/>
      <c r="AH997" s="1644"/>
      <c r="AI997" s="1645"/>
      <c r="AJ997" s="1638">
        <f>IF(ISERROR((R997*AB997)),0,(R997*AB997))</f>
        <v>39062400</v>
      </c>
      <c r="AK997" s="1639"/>
      <c r="AL997" s="1639"/>
      <c r="AM997" s="1639"/>
      <c r="AN997" s="1639"/>
      <c r="AO997" s="1639"/>
      <c r="AP997" s="1639"/>
      <c r="AQ997" s="1640"/>
      <c r="AR997" s="68"/>
      <c r="AS997" s="68"/>
      <c r="AT997" s="68"/>
      <c r="AU997" s="68"/>
      <c r="AV997" s="68"/>
      <c r="AW997" s="68"/>
      <c r="AX997" s="68"/>
      <c r="AY997" s="68"/>
      <c r="AZ997" s="30"/>
      <c r="BB997" s="14"/>
      <c r="BC997" s="14"/>
    </row>
    <row r="998" spans="1:55" ht="12.95" customHeight="1">
      <c r="A998" s="14"/>
      <c r="B998" s="73"/>
      <c r="C998" s="83"/>
      <c r="D998" s="1577" t="s">
        <v>164</v>
      </c>
      <c r="E998" s="1578"/>
      <c r="F998" s="1578"/>
      <c r="G998" s="1578"/>
      <c r="H998" s="1578"/>
      <c r="I998" s="1578"/>
      <c r="J998" s="1578"/>
      <c r="K998" s="1578"/>
      <c r="L998" s="1578"/>
      <c r="M998" s="1578"/>
      <c r="N998" s="1578"/>
      <c r="O998" s="1578"/>
      <c r="P998" s="1578"/>
      <c r="Q998" s="1579"/>
      <c r="R998" s="1637">
        <f>IF(ISNA(IF($CU$122="4%",(INDEX($CS$160:$CW$217,MATCH($DG$122,$CR$160:$CR$217,0),MATCH(D998,$CS$159:$CW$159,0))),(INDEX($CZ$160:$DD$217,MATCH($DG$122,$CY$160:$CY$217,0),MATCH(D998,$CZ$159:$DD$159,0))))),0,IF($CU$122="4%",(INDEX($CS$160:$CW$217,MATCH($DG$122,$CR$160:$CR$217,0),MATCH(D998,$CS$159:$CW$159,0))),(INDEX($CZ$160:$DD$217,MATCH($DG$122,$CY$160:$CY$217,0),MATCH(D998,$CZ$159:$DD$159,0)))))</f>
        <v>641024</v>
      </c>
      <c r="S998" s="1637"/>
      <c r="T998" s="1637"/>
      <c r="U998" s="1637"/>
      <c r="V998" s="1637"/>
      <c r="W998" s="1637"/>
      <c r="X998" s="1637"/>
      <c r="Y998" s="1637"/>
      <c r="Z998" s="1637"/>
      <c r="AA998" s="1637"/>
      <c r="AB998" s="1643">
        <f>DE810</f>
        <v>0</v>
      </c>
      <c r="AC998" s="1644"/>
      <c r="AD998" s="1644"/>
      <c r="AE998" s="1644"/>
      <c r="AF998" s="1644"/>
      <c r="AG998" s="1644"/>
      <c r="AH998" s="1644"/>
      <c r="AI998" s="1645"/>
      <c r="AJ998" s="1638">
        <f>IF(ISERROR((R998*AB998)),0,(R998*AB998))</f>
        <v>0</v>
      </c>
      <c r="AK998" s="1639"/>
      <c r="AL998" s="1639"/>
      <c r="AM998" s="1639"/>
      <c r="AN998" s="1639"/>
      <c r="AO998" s="1639"/>
      <c r="AP998" s="1639"/>
      <c r="AQ998" s="1640"/>
      <c r="AR998" s="68"/>
      <c r="AS998" s="68"/>
      <c r="AT998" s="68"/>
      <c r="AU998" s="68"/>
      <c r="AV998" s="68"/>
      <c r="AW998" s="68"/>
      <c r="AX998" s="68"/>
      <c r="AY998" s="68"/>
      <c r="AZ998" s="30"/>
      <c r="BA998" s="34"/>
      <c r="BB998" s="14"/>
      <c r="BC998" s="14"/>
    </row>
    <row r="999" spans="1:55" ht="12.95" customHeight="1">
      <c r="A999" s="14"/>
      <c r="B999" s="47"/>
      <c r="C999" s="78"/>
      <c r="D999" s="1577" t="s">
        <v>460</v>
      </c>
      <c r="E999" s="1578"/>
      <c r="F999" s="1578"/>
      <c r="G999" s="1578"/>
      <c r="H999" s="1578"/>
      <c r="I999" s="1578"/>
      <c r="J999" s="1578"/>
      <c r="K999" s="1578"/>
      <c r="L999" s="1578"/>
      <c r="M999" s="1578"/>
      <c r="N999" s="1578"/>
      <c r="O999" s="1578"/>
      <c r="P999" s="1578"/>
      <c r="Q999" s="1579"/>
      <c r="R999" s="1637">
        <f>IF(ISNA(IF($CU$122="4%",(INDEX($CS$160:$CW$217,MATCH($DG$122,$CR$160:$CR$217,0),MATCH(D999,$CS$159:$CW$159,0))),(INDEX($CZ$160:$DD$217,MATCH($DG$122,$CY$160:$CY$217,0),MATCH(D999,$CZ$159:$DD$159,0))))),0,IF($CU$122="4%",(INDEX($CS$160:$CW$217,MATCH($DG$122,$CR$160:$CR$217,0),MATCH(D999,$CS$159:$CW$159,0))),(INDEX($CZ$160:$DD$217,MATCH($DG$122,$CY$160:$CY$217,0),MATCH(D999,$CZ$159:$DD$159,0)))))</f>
        <v>714141</v>
      </c>
      <c r="S999" s="1637"/>
      <c r="T999" s="1637"/>
      <c r="U999" s="1637"/>
      <c r="V999" s="1637"/>
      <c r="W999" s="1637"/>
      <c r="X999" s="1637"/>
      <c r="Y999" s="1637"/>
      <c r="Z999" s="1637"/>
      <c r="AA999" s="1637"/>
      <c r="AB999" s="1643">
        <f>DO810+DJ810</f>
        <v>0</v>
      </c>
      <c r="AC999" s="1644"/>
      <c r="AD999" s="1644"/>
      <c r="AE999" s="1644"/>
      <c r="AF999" s="1644"/>
      <c r="AG999" s="1644"/>
      <c r="AH999" s="1644"/>
      <c r="AI999" s="1645"/>
      <c r="AJ999" s="1638">
        <f>IF(ISERROR((R999*AB999)),0,(R999*AB999))</f>
        <v>0</v>
      </c>
      <c r="AK999" s="1639"/>
      <c r="AL999" s="1639"/>
      <c r="AM999" s="1639"/>
      <c r="AN999" s="1639"/>
      <c r="AO999" s="1639"/>
      <c r="AP999" s="1639"/>
      <c r="AQ999" s="1640"/>
      <c r="AR999" s="68"/>
      <c r="AS999" s="68"/>
      <c r="AT999" s="68"/>
      <c r="AU999" s="68"/>
      <c r="AV999" s="68"/>
      <c r="AW999" s="68"/>
      <c r="AX999" s="68"/>
      <c r="AY999" s="68"/>
      <c r="AZ999" s="30"/>
      <c r="BB999" s="14"/>
      <c r="BC999" s="14"/>
    </row>
    <row r="1000" spans="1:55" ht="12.95" customHeight="1">
      <c r="A1000" s="14"/>
      <c r="B1000" s="1646" t="s">
        <v>791</v>
      </c>
      <c r="C1000" s="1647"/>
      <c r="D1000" s="1647"/>
      <c r="E1000" s="1647"/>
      <c r="F1000" s="1647"/>
      <c r="G1000" s="1647"/>
      <c r="H1000" s="1647"/>
      <c r="I1000" s="1647"/>
      <c r="J1000" s="1647"/>
      <c r="K1000" s="1647"/>
      <c r="L1000" s="1647"/>
      <c r="M1000" s="1647"/>
      <c r="N1000" s="1647"/>
      <c r="O1000" s="1647"/>
      <c r="P1000" s="1647"/>
      <c r="Q1000" s="1647"/>
      <c r="R1000" s="1647"/>
      <c r="S1000" s="1647"/>
      <c r="T1000" s="1647"/>
      <c r="U1000" s="1647"/>
      <c r="V1000" s="1647"/>
      <c r="W1000" s="1647"/>
      <c r="X1000" s="1647"/>
      <c r="Y1000" s="1647"/>
      <c r="Z1000" s="1647"/>
      <c r="AA1000" s="1648"/>
      <c r="AB1000" s="1643">
        <f>SUM(AB995:AI999)</f>
        <v>222</v>
      </c>
      <c r="AC1000" s="1644"/>
      <c r="AD1000" s="1644"/>
      <c r="AE1000" s="1644"/>
      <c r="AF1000" s="1644"/>
      <c r="AG1000" s="1644"/>
      <c r="AH1000" s="1644"/>
      <c r="AI1000" s="1645"/>
      <c r="AJ1000" s="1638"/>
      <c r="AK1000" s="1639"/>
      <c r="AL1000" s="1639"/>
      <c r="AM1000" s="1639"/>
      <c r="AN1000" s="1639"/>
      <c r="AO1000" s="1639"/>
      <c r="AP1000" s="1639"/>
      <c r="AQ1000" s="1640"/>
      <c r="AR1000" s="68"/>
      <c r="AS1000" s="68"/>
      <c r="AT1000" s="68"/>
      <c r="AU1000" s="68"/>
      <c r="AV1000" s="68"/>
      <c r="AW1000" s="68"/>
      <c r="AX1000" s="68"/>
      <c r="AY1000" s="68"/>
      <c r="AZ1000" s="34"/>
      <c r="BA1000" s="34"/>
      <c r="BB1000" s="14"/>
      <c r="BC1000" s="14"/>
    </row>
    <row r="1001" spans="1:55" ht="12.95" customHeight="1">
      <c r="A1001" s="14"/>
      <c r="B1001" s="1718" t="s">
        <v>512</v>
      </c>
      <c r="C1001" s="1719"/>
      <c r="D1001" s="1719"/>
      <c r="E1001" s="1719"/>
      <c r="F1001" s="1719"/>
      <c r="G1001" s="1719"/>
      <c r="H1001" s="1719"/>
      <c r="I1001" s="1719"/>
      <c r="J1001" s="1719"/>
      <c r="K1001" s="1719"/>
      <c r="L1001" s="1719"/>
      <c r="M1001" s="1719"/>
      <c r="N1001" s="1719"/>
      <c r="O1001" s="1719"/>
      <c r="P1001" s="1719"/>
      <c r="Q1001" s="1719"/>
      <c r="R1001" s="1719"/>
      <c r="S1001" s="1719"/>
      <c r="T1001" s="1719"/>
      <c r="U1001" s="1719"/>
      <c r="V1001" s="1719"/>
      <c r="W1001" s="1719"/>
      <c r="X1001" s="1719"/>
      <c r="Y1001" s="1719"/>
      <c r="Z1001" s="1719"/>
      <c r="AA1001" s="1719"/>
      <c r="AB1001" s="1719"/>
      <c r="AC1001" s="1719"/>
      <c r="AD1001" s="1719"/>
      <c r="AE1001" s="1719"/>
      <c r="AF1001" s="1719"/>
      <c r="AG1001" s="1719"/>
      <c r="AH1001" s="1719"/>
      <c r="AI1001" s="1720"/>
      <c r="AJ1001" s="1638">
        <f>SUM(AJ995:AQ999)</f>
        <v>98845872</v>
      </c>
      <c r="AK1001" s="1639"/>
      <c r="AL1001" s="1639"/>
      <c r="AM1001" s="1639"/>
      <c r="AN1001" s="1639"/>
      <c r="AO1001" s="1639"/>
      <c r="AP1001" s="1639"/>
      <c r="AQ1001" s="1640"/>
      <c r="AR1001" s="68"/>
      <c r="AS1001" s="68"/>
      <c r="AT1001" s="68"/>
      <c r="AU1001" s="68"/>
      <c r="AV1001" s="68"/>
      <c r="AW1001" s="68"/>
      <c r="AX1001" s="68"/>
      <c r="AY1001" s="68"/>
      <c r="AZ1001" s="34"/>
      <c r="BB1001" s="34"/>
      <c r="BC1001" s="34"/>
    </row>
    <row r="1002" spans="1:55" ht="12.95" customHeight="1">
      <c r="A1002" s="14"/>
      <c r="B1002" s="1715"/>
      <c r="C1002" s="1716"/>
      <c r="D1002" s="1716"/>
      <c r="E1002" s="1716"/>
      <c r="F1002" s="1716"/>
      <c r="G1002" s="1716"/>
      <c r="H1002" s="1716"/>
      <c r="I1002" s="1716"/>
      <c r="J1002" s="1716"/>
      <c r="K1002" s="1716"/>
      <c r="L1002" s="1716"/>
      <c r="M1002" s="1716"/>
      <c r="N1002" s="1716"/>
      <c r="O1002" s="1716"/>
      <c r="P1002" s="1716"/>
      <c r="Q1002" s="1716"/>
      <c r="R1002" s="1716"/>
      <c r="S1002" s="1716"/>
      <c r="T1002" s="1716"/>
      <c r="U1002" s="1716"/>
      <c r="V1002" s="1716"/>
      <c r="W1002" s="1716"/>
      <c r="X1002" s="1716"/>
      <c r="Y1002" s="1716"/>
      <c r="Z1002" s="1716"/>
      <c r="AA1002" s="1716"/>
      <c r="AB1002" s="1716"/>
      <c r="AC1002" s="1716"/>
      <c r="AD1002" s="1716"/>
      <c r="AE1002" s="1717"/>
      <c r="AF1002" s="1725" t="s">
        <v>666</v>
      </c>
      <c r="AG1002" s="1726"/>
      <c r="AH1002" s="1726"/>
      <c r="AI1002" s="1727"/>
      <c r="AJ1002" s="1715"/>
      <c r="AK1002" s="1716"/>
      <c r="AL1002" s="1716"/>
      <c r="AM1002" s="1716"/>
      <c r="AN1002" s="1716"/>
      <c r="AO1002" s="1716"/>
      <c r="AP1002" s="1716"/>
      <c r="AQ1002" s="1717"/>
      <c r="AR1002" s="68"/>
      <c r="AS1002" s="68"/>
      <c r="AT1002" s="68"/>
      <c r="AU1002" s="68"/>
      <c r="AV1002" s="68"/>
      <c r="AW1002" s="68"/>
      <c r="AX1002" s="68"/>
      <c r="AY1002" s="68"/>
      <c r="AZ1002" s="34"/>
      <c r="BA1002" s="34"/>
      <c r="BB1002" s="34"/>
      <c r="BC1002" s="34"/>
    </row>
    <row r="1003" spans="1:55" ht="12.95" customHeight="1">
      <c r="A1003" s="14"/>
      <c r="B1003" s="73"/>
      <c r="C1003" s="923" t="s">
        <v>668</v>
      </c>
      <c r="D1003" s="1687" t="s">
        <v>1220</v>
      </c>
      <c r="E1003" s="1688"/>
      <c r="F1003" s="1688"/>
      <c r="G1003" s="1688"/>
      <c r="H1003" s="1688"/>
      <c r="I1003" s="1688"/>
      <c r="J1003" s="1688"/>
      <c r="K1003" s="1688"/>
      <c r="L1003" s="1688"/>
      <c r="M1003" s="1688"/>
      <c r="N1003" s="1688"/>
      <c r="O1003" s="1688"/>
      <c r="P1003" s="1688"/>
      <c r="Q1003" s="1688"/>
      <c r="R1003" s="1688"/>
      <c r="S1003" s="1688"/>
      <c r="T1003" s="1688"/>
      <c r="U1003" s="1688"/>
      <c r="V1003" s="1688"/>
      <c r="W1003" s="1688"/>
      <c r="X1003" s="1688"/>
      <c r="Y1003" s="1688"/>
      <c r="Z1003" s="1688"/>
      <c r="AA1003" s="1688"/>
      <c r="AB1003" s="1688"/>
      <c r="AC1003" s="1688"/>
      <c r="AD1003" s="1688"/>
      <c r="AE1003" s="1689"/>
      <c r="AF1003" s="79"/>
      <c r="AG1003" s="1728" t="s">
        <v>669</v>
      </c>
      <c r="AH1003" s="1729"/>
      <c r="AI1003" s="87"/>
      <c r="AJ1003" s="1700">
        <f>ROUND(IF(AND(AG1003="yes",D1009&gt;0),AJ1001*0.2,0),0)</f>
        <v>0</v>
      </c>
      <c r="AK1003" s="1701"/>
      <c r="AL1003" s="1701"/>
      <c r="AM1003" s="1701"/>
      <c r="AN1003" s="1701"/>
      <c r="AO1003" s="1701"/>
      <c r="AP1003" s="1701"/>
      <c r="AQ1003" s="1702"/>
      <c r="AR1003" s="68"/>
      <c r="AS1003" s="68"/>
      <c r="AT1003" s="68"/>
      <c r="AU1003" s="68"/>
      <c r="AV1003" s="68"/>
      <c r="AW1003" s="68"/>
      <c r="AX1003" s="68"/>
      <c r="AY1003" s="68"/>
      <c r="AZ1003" s="34"/>
      <c r="BA1003" s="34"/>
      <c r="BB1003" s="34"/>
      <c r="BC1003" s="34"/>
    </row>
    <row r="1004" spans="1:55" ht="12.95" customHeight="1">
      <c r="A1004" s="14"/>
      <c r="B1004" s="257"/>
      <c r="C1004" s="256"/>
      <c r="D1004" s="1659" t="s">
        <v>2188</v>
      </c>
      <c r="E1004" s="1660"/>
      <c r="F1004" s="1660"/>
      <c r="G1004" s="1660"/>
      <c r="H1004" s="1660"/>
      <c r="I1004" s="1660"/>
      <c r="J1004" s="1660"/>
      <c r="K1004" s="1660"/>
      <c r="L1004" s="1660"/>
      <c r="M1004" s="1660"/>
      <c r="N1004" s="1660"/>
      <c r="O1004" s="1660"/>
      <c r="P1004" s="1660"/>
      <c r="Q1004" s="1660"/>
      <c r="R1004" s="1660"/>
      <c r="S1004" s="1660"/>
      <c r="T1004" s="1660"/>
      <c r="U1004" s="1660"/>
      <c r="V1004" s="1660"/>
      <c r="W1004" s="1660"/>
      <c r="X1004" s="1660"/>
      <c r="Y1004" s="1660"/>
      <c r="Z1004" s="1660"/>
      <c r="AA1004" s="1660"/>
      <c r="AB1004" s="1660"/>
      <c r="AC1004" s="1660"/>
      <c r="AD1004" s="1660"/>
      <c r="AE1004" s="1661"/>
      <c r="AF1004" s="73"/>
      <c r="AG1004" s="14"/>
      <c r="AH1004" s="14"/>
      <c r="AI1004" s="83"/>
      <c r="AJ1004" s="1703"/>
      <c r="AK1004" s="1704"/>
      <c r="AL1004" s="1704"/>
      <c r="AM1004" s="1704"/>
      <c r="AN1004" s="1704"/>
      <c r="AO1004" s="1704"/>
      <c r="AP1004" s="1704"/>
      <c r="AQ1004" s="1705"/>
      <c r="AR1004" s="68"/>
      <c r="AS1004" s="68"/>
      <c r="AT1004" s="68"/>
      <c r="AU1004" s="68"/>
      <c r="AV1004" s="68"/>
      <c r="AW1004" s="68"/>
      <c r="AX1004" s="68"/>
      <c r="AY1004" s="68"/>
      <c r="AZ1004" s="34"/>
      <c r="BA1004" s="34"/>
      <c r="BB1004" s="34"/>
      <c r="BC1004" s="34"/>
    </row>
    <row r="1005" spans="1:55" ht="12.95" customHeight="1">
      <c r="A1005" s="14"/>
      <c r="B1005" s="257"/>
      <c r="C1005" s="256"/>
      <c r="D1005" s="1659"/>
      <c r="E1005" s="1660"/>
      <c r="F1005" s="1660"/>
      <c r="G1005" s="1660"/>
      <c r="H1005" s="1660"/>
      <c r="I1005" s="1660"/>
      <c r="J1005" s="1660"/>
      <c r="K1005" s="1660"/>
      <c r="L1005" s="1660"/>
      <c r="M1005" s="1660"/>
      <c r="N1005" s="1660"/>
      <c r="O1005" s="1660"/>
      <c r="P1005" s="1660"/>
      <c r="Q1005" s="1660"/>
      <c r="R1005" s="1660"/>
      <c r="S1005" s="1660"/>
      <c r="T1005" s="1660"/>
      <c r="U1005" s="1660"/>
      <c r="V1005" s="1660"/>
      <c r="W1005" s="1660"/>
      <c r="X1005" s="1660"/>
      <c r="Y1005" s="1660"/>
      <c r="Z1005" s="1660"/>
      <c r="AA1005" s="1660"/>
      <c r="AB1005" s="1660"/>
      <c r="AC1005" s="1660"/>
      <c r="AD1005" s="1660"/>
      <c r="AE1005" s="1661"/>
      <c r="AF1005" s="73"/>
      <c r="AG1005" s="14"/>
      <c r="AH1005" s="14"/>
      <c r="AI1005" s="83"/>
      <c r="AJ1005" s="1703"/>
      <c r="AK1005" s="1704"/>
      <c r="AL1005" s="1704"/>
      <c r="AM1005" s="1704"/>
      <c r="AN1005" s="1704"/>
      <c r="AO1005" s="1704"/>
      <c r="AP1005" s="1704"/>
      <c r="AQ1005" s="1705"/>
      <c r="AR1005" s="68"/>
      <c r="AS1005" s="68"/>
      <c r="AT1005" s="68"/>
      <c r="AU1005" s="68"/>
      <c r="AV1005" s="68"/>
      <c r="AW1005" s="68"/>
      <c r="AX1005" s="68"/>
      <c r="AY1005" s="68"/>
      <c r="AZ1005" s="34"/>
      <c r="BA1005" s="34"/>
      <c r="BB1005" s="34"/>
      <c r="BC1005" s="34"/>
    </row>
    <row r="1006" spans="1:55" ht="12.95" customHeight="1">
      <c r="A1006" s="14"/>
      <c r="B1006" s="257"/>
      <c r="C1006" s="256"/>
      <c r="D1006" s="1659"/>
      <c r="E1006" s="1660"/>
      <c r="F1006" s="1660"/>
      <c r="G1006" s="1660"/>
      <c r="H1006" s="1660"/>
      <c r="I1006" s="1660"/>
      <c r="J1006" s="1660"/>
      <c r="K1006" s="1660"/>
      <c r="L1006" s="1660"/>
      <c r="M1006" s="1660"/>
      <c r="N1006" s="1660"/>
      <c r="O1006" s="1660"/>
      <c r="P1006" s="1660"/>
      <c r="Q1006" s="1660"/>
      <c r="R1006" s="1660"/>
      <c r="S1006" s="1660"/>
      <c r="T1006" s="1660"/>
      <c r="U1006" s="1660"/>
      <c r="V1006" s="1660"/>
      <c r="W1006" s="1660"/>
      <c r="X1006" s="1660"/>
      <c r="Y1006" s="1660"/>
      <c r="Z1006" s="1660"/>
      <c r="AA1006" s="1660"/>
      <c r="AB1006" s="1660"/>
      <c r="AC1006" s="1660"/>
      <c r="AD1006" s="1660"/>
      <c r="AE1006" s="1661"/>
      <c r="AF1006" s="73"/>
      <c r="AG1006" s="14"/>
      <c r="AH1006" s="14"/>
      <c r="AI1006" s="83"/>
      <c r="AJ1006" s="1703"/>
      <c r="AK1006" s="1704"/>
      <c r="AL1006" s="1704"/>
      <c r="AM1006" s="1704"/>
      <c r="AN1006" s="1704"/>
      <c r="AO1006" s="1704"/>
      <c r="AP1006" s="1704"/>
      <c r="AQ1006" s="1705"/>
      <c r="AR1006" s="68"/>
      <c r="AS1006" s="68"/>
      <c r="AT1006" s="68"/>
      <c r="AU1006" s="68"/>
      <c r="AV1006" s="68"/>
      <c r="AW1006" s="68"/>
      <c r="AX1006" s="68"/>
      <c r="AY1006" s="68"/>
      <c r="AZ1006" s="34"/>
      <c r="BA1006" s="34"/>
      <c r="BB1006" s="34"/>
      <c r="BC1006" s="34"/>
    </row>
    <row r="1007" spans="1:55" ht="12.95" customHeight="1">
      <c r="A1007" s="14"/>
      <c r="B1007" s="257"/>
      <c r="C1007" s="256"/>
      <c r="D1007" s="1659"/>
      <c r="E1007" s="1660"/>
      <c r="F1007" s="1660"/>
      <c r="G1007" s="1660"/>
      <c r="H1007" s="1660"/>
      <c r="I1007" s="1660"/>
      <c r="J1007" s="1660"/>
      <c r="K1007" s="1660"/>
      <c r="L1007" s="1660"/>
      <c r="M1007" s="1660"/>
      <c r="N1007" s="1660"/>
      <c r="O1007" s="1660"/>
      <c r="P1007" s="1660"/>
      <c r="Q1007" s="1660"/>
      <c r="R1007" s="1660"/>
      <c r="S1007" s="1660"/>
      <c r="T1007" s="1660"/>
      <c r="U1007" s="1660"/>
      <c r="V1007" s="1660"/>
      <c r="W1007" s="1660"/>
      <c r="X1007" s="1660"/>
      <c r="Y1007" s="1660"/>
      <c r="Z1007" s="1660"/>
      <c r="AA1007" s="1660"/>
      <c r="AB1007" s="1660"/>
      <c r="AC1007" s="1660"/>
      <c r="AD1007" s="1660"/>
      <c r="AE1007" s="1661"/>
      <c r="AF1007" s="73"/>
      <c r="AG1007" s="14"/>
      <c r="AH1007" s="14"/>
      <c r="AI1007" s="83"/>
      <c r="AJ1007" s="1703"/>
      <c r="AK1007" s="1704"/>
      <c r="AL1007" s="1704"/>
      <c r="AM1007" s="1704"/>
      <c r="AN1007" s="1704"/>
      <c r="AO1007" s="1704"/>
      <c r="AP1007" s="1704"/>
      <c r="AQ1007" s="1705"/>
      <c r="AR1007" s="68"/>
      <c r="AS1007" s="68"/>
      <c r="AT1007" s="68"/>
      <c r="AU1007" s="68"/>
      <c r="AV1007" s="68"/>
      <c r="AW1007" s="68"/>
      <c r="AX1007" s="68"/>
      <c r="AY1007" s="68"/>
      <c r="AZ1007" s="34"/>
      <c r="BA1007" s="34"/>
      <c r="BB1007" s="34"/>
      <c r="BC1007" s="34"/>
    </row>
    <row r="1008" spans="1:55" ht="12.95" customHeight="1">
      <c r="A1008" s="14"/>
      <c r="B1008" s="257"/>
      <c r="C1008" s="256"/>
      <c r="D1008" s="1662" t="s">
        <v>2159</v>
      </c>
      <c r="E1008" s="1663"/>
      <c r="F1008" s="1663"/>
      <c r="G1008" s="1663"/>
      <c r="H1008" s="1663"/>
      <c r="I1008" s="1663"/>
      <c r="J1008" s="1663"/>
      <c r="K1008" s="1663"/>
      <c r="L1008" s="1663"/>
      <c r="M1008" s="1663"/>
      <c r="N1008" s="1663"/>
      <c r="O1008" s="1663"/>
      <c r="P1008" s="1663"/>
      <c r="Q1008" s="1663"/>
      <c r="R1008" s="1663"/>
      <c r="S1008" s="1663"/>
      <c r="T1008" s="1663"/>
      <c r="U1008" s="1663"/>
      <c r="V1008" s="1663"/>
      <c r="W1008" s="1663"/>
      <c r="X1008" s="1663"/>
      <c r="Y1008" s="1663"/>
      <c r="Z1008" s="1663"/>
      <c r="AA1008" s="1663"/>
      <c r="AB1008" s="1663"/>
      <c r="AC1008" s="1663"/>
      <c r="AD1008" s="1663"/>
      <c r="AE1008" s="1664"/>
      <c r="AF1008" s="73"/>
      <c r="AG1008" s="14"/>
      <c r="AH1008" s="14"/>
      <c r="AI1008" s="83"/>
      <c r="AJ1008" s="1703"/>
      <c r="AK1008" s="1704"/>
      <c r="AL1008" s="1704"/>
      <c r="AM1008" s="1704"/>
      <c r="AN1008" s="1704"/>
      <c r="AO1008" s="1704"/>
      <c r="AP1008" s="1704"/>
      <c r="AQ1008" s="1705"/>
      <c r="AR1008" s="68"/>
      <c r="AS1008" s="68"/>
      <c r="AT1008" s="68"/>
      <c r="AU1008" s="68"/>
      <c r="AV1008" s="68"/>
      <c r="AW1008" s="68"/>
      <c r="AX1008" s="68"/>
      <c r="AY1008" s="68"/>
      <c r="AZ1008" s="34"/>
      <c r="BA1008" s="34"/>
      <c r="BB1008" s="34"/>
      <c r="BC1008" s="34"/>
    </row>
    <row r="1009" spans="1:55" ht="12.95" customHeight="1">
      <c r="A1009" s="14"/>
      <c r="B1009" s="257"/>
      <c r="C1009" s="256"/>
      <c r="D1009" s="1757"/>
      <c r="E1009" s="1758"/>
      <c r="F1009" s="1758"/>
      <c r="G1009" s="1758"/>
      <c r="H1009" s="1758"/>
      <c r="I1009" s="1758"/>
      <c r="J1009" s="1758"/>
      <c r="K1009" s="1758"/>
      <c r="L1009" s="1758"/>
      <c r="M1009" s="1758"/>
      <c r="N1009" s="1758"/>
      <c r="O1009" s="1758"/>
      <c r="P1009" s="1758"/>
      <c r="Q1009" s="1758"/>
      <c r="R1009" s="1758"/>
      <c r="S1009" s="1758"/>
      <c r="T1009" s="1758"/>
      <c r="U1009" s="1758"/>
      <c r="V1009" s="1758"/>
      <c r="W1009" s="1758"/>
      <c r="X1009" s="1758"/>
      <c r="Y1009" s="1758"/>
      <c r="Z1009" s="1758"/>
      <c r="AA1009" s="1758"/>
      <c r="AB1009" s="1758"/>
      <c r="AC1009" s="1758"/>
      <c r="AD1009" s="1758"/>
      <c r="AE1009" s="1759"/>
      <c r="AF1009" s="77"/>
      <c r="AG1009" s="7"/>
      <c r="AH1009" s="7"/>
      <c r="AI1009" s="78"/>
      <c r="AJ1009" s="1712"/>
      <c r="AK1009" s="1713"/>
      <c r="AL1009" s="1713"/>
      <c r="AM1009" s="1713"/>
      <c r="AN1009" s="1713"/>
      <c r="AO1009" s="1713"/>
      <c r="AP1009" s="1713"/>
      <c r="AQ1009" s="1714"/>
      <c r="AR1009" s="68"/>
      <c r="AS1009" s="68"/>
      <c r="AT1009" s="68"/>
      <c r="AU1009" s="68"/>
      <c r="AV1009" s="68"/>
      <c r="AW1009" s="68"/>
      <c r="AX1009" s="68"/>
      <c r="AY1009" s="68"/>
      <c r="AZ1009" s="34"/>
      <c r="BA1009" s="34"/>
      <c r="BB1009" s="34"/>
      <c r="BC1009" s="34"/>
    </row>
    <row r="1010" spans="1:55" ht="12.95" customHeight="1">
      <c r="A1010" s="14"/>
      <c r="B1010" s="255"/>
      <c r="C1010" s="318"/>
      <c r="D1010" s="1665" t="s">
        <v>1286</v>
      </c>
      <c r="E1010" s="1666"/>
      <c r="F1010" s="1666"/>
      <c r="G1010" s="1666"/>
      <c r="H1010" s="1666"/>
      <c r="I1010" s="1666"/>
      <c r="J1010" s="1666"/>
      <c r="K1010" s="1666"/>
      <c r="L1010" s="1666"/>
      <c r="M1010" s="1666"/>
      <c r="N1010" s="1666"/>
      <c r="O1010" s="1666"/>
      <c r="P1010" s="1666"/>
      <c r="Q1010" s="1666"/>
      <c r="R1010" s="1666"/>
      <c r="S1010" s="1666"/>
      <c r="T1010" s="1666"/>
      <c r="U1010" s="1666"/>
      <c r="V1010" s="1666"/>
      <c r="W1010" s="1666"/>
      <c r="X1010" s="1666"/>
      <c r="Y1010" s="1666"/>
      <c r="Z1010" s="1666"/>
      <c r="AA1010" s="1666"/>
      <c r="AB1010" s="1666"/>
      <c r="AC1010" s="1666"/>
      <c r="AD1010" s="1666"/>
      <c r="AE1010" s="1667"/>
      <c r="AF1010" s="79"/>
      <c r="AG1010" s="1649" t="s">
        <v>669</v>
      </c>
      <c r="AH1010" s="1650"/>
      <c r="AI1010" s="87"/>
      <c r="AJ1010" s="1700">
        <f>ROUND(IF(AG1010="yes",AJ1001*0.05,0),0)</f>
        <v>0</v>
      </c>
      <c r="AK1010" s="1701"/>
      <c r="AL1010" s="1701"/>
      <c r="AM1010" s="1701"/>
      <c r="AN1010" s="1701"/>
      <c r="AO1010" s="1701"/>
      <c r="AP1010" s="1701"/>
      <c r="AQ1010" s="1702"/>
      <c r="AR1010" s="68"/>
      <c r="AS1010" s="68"/>
      <c r="AT1010" s="68"/>
      <c r="AU1010" s="68"/>
      <c r="AV1010" s="68"/>
      <c r="AW1010" s="68"/>
      <c r="AX1010" s="68"/>
      <c r="AY1010" s="68"/>
      <c r="AZ1010" s="34"/>
      <c r="BA1010" s="34"/>
      <c r="BB1010" s="34"/>
      <c r="BC1010" s="34"/>
    </row>
    <row r="1011" spans="1:55" ht="12.95" customHeight="1">
      <c r="A1011" s="14"/>
      <c r="B1011" s="257"/>
      <c r="C1011" s="82"/>
      <c r="D1011" s="1659" t="s">
        <v>1284</v>
      </c>
      <c r="E1011" s="1660"/>
      <c r="F1011" s="1660"/>
      <c r="G1011" s="1660"/>
      <c r="H1011" s="1660"/>
      <c r="I1011" s="1660"/>
      <c r="J1011" s="1660"/>
      <c r="K1011" s="1660"/>
      <c r="L1011" s="1660"/>
      <c r="M1011" s="1660"/>
      <c r="N1011" s="1660"/>
      <c r="O1011" s="1660"/>
      <c r="P1011" s="1660"/>
      <c r="Q1011" s="1660"/>
      <c r="R1011" s="1660"/>
      <c r="S1011" s="1660"/>
      <c r="T1011" s="1660"/>
      <c r="U1011" s="1660"/>
      <c r="V1011" s="1660"/>
      <c r="W1011" s="1660"/>
      <c r="X1011" s="1660"/>
      <c r="Y1011" s="1660"/>
      <c r="Z1011" s="1660"/>
      <c r="AA1011" s="1660"/>
      <c r="AB1011" s="1660"/>
      <c r="AC1011" s="1660"/>
      <c r="AD1011" s="1660"/>
      <c r="AE1011" s="1661"/>
      <c r="AF1011" s="73"/>
      <c r="AG1011" s="14"/>
      <c r="AH1011" s="14"/>
      <c r="AI1011" s="83"/>
      <c r="AJ1011" s="1703"/>
      <c r="AK1011" s="1704"/>
      <c r="AL1011" s="1704"/>
      <c r="AM1011" s="1704"/>
      <c r="AN1011" s="1704"/>
      <c r="AO1011" s="1704"/>
      <c r="AP1011" s="1704"/>
      <c r="AQ1011" s="1705"/>
      <c r="AR1011" s="68"/>
      <c r="AS1011" s="68"/>
      <c r="AT1011" s="68"/>
      <c r="AU1011" s="68"/>
      <c r="AV1011" s="68"/>
      <c r="AW1011" s="68"/>
      <c r="AX1011" s="68"/>
      <c r="AY1011" s="34"/>
      <c r="AZ1011" s="34"/>
      <c r="BB1011" s="34"/>
    </row>
    <row r="1012" spans="1:55" ht="12.95" customHeight="1">
      <c r="A1012" s="14"/>
      <c r="B1012" s="257"/>
      <c r="C1012" s="82"/>
      <c r="D1012" s="1659"/>
      <c r="E1012" s="1660"/>
      <c r="F1012" s="1660"/>
      <c r="G1012" s="1660"/>
      <c r="H1012" s="1660"/>
      <c r="I1012" s="1660"/>
      <c r="J1012" s="1660"/>
      <c r="K1012" s="1660"/>
      <c r="L1012" s="1660"/>
      <c r="M1012" s="1660"/>
      <c r="N1012" s="1660"/>
      <c r="O1012" s="1660"/>
      <c r="P1012" s="1660"/>
      <c r="Q1012" s="1660"/>
      <c r="R1012" s="1660"/>
      <c r="S1012" s="1660"/>
      <c r="T1012" s="1660"/>
      <c r="U1012" s="1660"/>
      <c r="V1012" s="1660"/>
      <c r="W1012" s="1660"/>
      <c r="X1012" s="1660"/>
      <c r="Y1012" s="1660"/>
      <c r="Z1012" s="1660"/>
      <c r="AA1012" s="1660"/>
      <c r="AB1012" s="1660"/>
      <c r="AC1012" s="1660"/>
      <c r="AD1012" s="1660"/>
      <c r="AE1012" s="1661"/>
      <c r="AF1012" s="73"/>
      <c r="AG1012" s="14"/>
      <c r="AH1012" s="14"/>
      <c r="AI1012" s="83"/>
      <c r="AJ1012" s="1703"/>
      <c r="AK1012" s="1704"/>
      <c r="AL1012" s="1704"/>
      <c r="AM1012" s="1704"/>
      <c r="AN1012" s="1704"/>
      <c r="AO1012" s="1704"/>
      <c r="AP1012" s="1704"/>
      <c r="AQ1012" s="1705"/>
      <c r="AR1012" s="68"/>
      <c r="AS1012" s="68"/>
      <c r="AT1012" s="68"/>
      <c r="AU1012" s="68"/>
      <c r="AV1012" s="68"/>
      <c r="AW1012" s="68"/>
      <c r="AX1012" s="68"/>
      <c r="AY1012" s="910">
        <f>G761+O805</f>
        <v>220</v>
      </c>
      <c r="AZ1012" s="34"/>
      <c r="BB1012" s="34"/>
    </row>
    <row r="1013" spans="1:55" ht="12.95" customHeight="1">
      <c r="A1013" s="14"/>
      <c r="B1013" s="257"/>
      <c r="C1013" s="82"/>
      <c r="D1013" s="1659"/>
      <c r="E1013" s="1660"/>
      <c r="F1013" s="1660"/>
      <c r="G1013" s="1660"/>
      <c r="H1013" s="1660"/>
      <c r="I1013" s="1660"/>
      <c r="J1013" s="1660"/>
      <c r="K1013" s="1660"/>
      <c r="L1013" s="1660"/>
      <c r="M1013" s="1660"/>
      <c r="N1013" s="1660"/>
      <c r="O1013" s="1660"/>
      <c r="P1013" s="1660"/>
      <c r="Q1013" s="1660"/>
      <c r="R1013" s="1660"/>
      <c r="S1013" s="1660"/>
      <c r="T1013" s="1660"/>
      <c r="U1013" s="1660"/>
      <c r="V1013" s="1660"/>
      <c r="W1013" s="1660"/>
      <c r="X1013" s="1660"/>
      <c r="Y1013" s="1660"/>
      <c r="Z1013" s="1660"/>
      <c r="AA1013" s="1660"/>
      <c r="AB1013" s="1660"/>
      <c r="AC1013" s="1660"/>
      <c r="AD1013" s="1660"/>
      <c r="AE1013" s="1661"/>
      <c r="AF1013" s="73"/>
      <c r="AG1013" s="14"/>
      <c r="AH1013" s="14"/>
      <c r="AI1013" s="83"/>
      <c r="AJ1013" s="1703"/>
      <c r="AK1013" s="1704"/>
      <c r="AL1013" s="1704"/>
      <c r="AM1013" s="1704"/>
      <c r="AN1013" s="1704"/>
      <c r="AO1013" s="1704"/>
      <c r="AP1013" s="1704"/>
      <c r="AQ1013" s="1705"/>
      <c r="AR1013" s="68"/>
      <c r="AS1013" s="68"/>
      <c r="AT1013" s="68"/>
      <c r="AU1013" s="68"/>
      <c r="AV1013" s="68"/>
      <c r="AW1013" s="68"/>
      <c r="AX1013" s="68"/>
      <c r="AY1013" s="14"/>
      <c r="AZ1013" s="34"/>
      <c r="BB1013" s="34"/>
    </row>
    <row r="1014" spans="1:55" ht="12.95" customHeight="1">
      <c r="A1014" s="14"/>
      <c r="B1014" s="257"/>
      <c r="C1014" s="82"/>
      <c r="D1014" s="1659"/>
      <c r="E1014" s="1660"/>
      <c r="F1014" s="1660"/>
      <c r="G1014" s="1660"/>
      <c r="H1014" s="1660"/>
      <c r="I1014" s="1660"/>
      <c r="J1014" s="1660"/>
      <c r="K1014" s="1660"/>
      <c r="L1014" s="1660"/>
      <c r="M1014" s="1660"/>
      <c r="N1014" s="1660"/>
      <c r="O1014" s="1660"/>
      <c r="P1014" s="1660"/>
      <c r="Q1014" s="1660"/>
      <c r="R1014" s="1660"/>
      <c r="S1014" s="1660"/>
      <c r="T1014" s="1660"/>
      <c r="U1014" s="1660"/>
      <c r="V1014" s="1660"/>
      <c r="W1014" s="1660"/>
      <c r="X1014" s="1660"/>
      <c r="Y1014" s="1660"/>
      <c r="Z1014" s="1660"/>
      <c r="AA1014" s="1660"/>
      <c r="AB1014" s="1660"/>
      <c r="AC1014" s="1660"/>
      <c r="AD1014" s="1660"/>
      <c r="AE1014" s="1661"/>
      <c r="AF1014" s="73"/>
      <c r="AG1014" s="14"/>
      <c r="AH1014" s="14"/>
      <c r="AI1014" s="83"/>
      <c r="AJ1014" s="1703"/>
      <c r="AK1014" s="1704"/>
      <c r="AL1014" s="1704"/>
      <c r="AM1014" s="1704"/>
      <c r="AN1014" s="1704"/>
      <c r="AO1014" s="1704"/>
      <c r="AP1014" s="1704"/>
      <c r="AQ1014" s="1705"/>
      <c r="AR1014" s="68"/>
      <c r="AS1014" s="68"/>
      <c r="AT1014" s="68"/>
      <c r="AU1014" s="68"/>
      <c r="AV1014" s="68"/>
      <c r="AW1014" s="68"/>
      <c r="AX1014" s="68"/>
      <c r="AY1014" s="909">
        <f>ROUNDDOWN(X1057/I1057,2)</f>
        <v>0.1</v>
      </c>
      <c r="AZ1014" s="34"/>
      <c r="BB1014" s="34"/>
    </row>
    <row r="1015" spans="1:55" ht="12.95" customHeight="1">
      <c r="A1015" s="14"/>
      <c r="B1015" s="75"/>
      <c r="C1015" s="76"/>
      <c r="D1015" s="1662"/>
      <c r="E1015" s="1663"/>
      <c r="F1015" s="1663"/>
      <c r="G1015" s="1663"/>
      <c r="H1015" s="1663"/>
      <c r="I1015" s="1663"/>
      <c r="J1015" s="1663"/>
      <c r="K1015" s="1663"/>
      <c r="L1015" s="1663"/>
      <c r="M1015" s="1663"/>
      <c r="N1015" s="1663"/>
      <c r="O1015" s="1663"/>
      <c r="P1015" s="1663"/>
      <c r="Q1015" s="1663"/>
      <c r="R1015" s="1663"/>
      <c r="S1015" s="1663"/>
      <c r="T1015" s="1663"/>
      <c r="U1015" s="1663"/>
      <c r="V1015" s="1663"/>
      <c r="W1015" s="1663"/>
      <c r="X1015" s="1663"/>
      <c r="Y1015" s="1663"/>
      <c r="Z1015" s="1663"/>
      <c r="AA1015" s="1663"/>
      <c r="AB1015" s="1663"/>
      <c r="AC1015" s="1663"/>
      <c r="AD1015" s="1663"/>
      <c r="AE1015" s="1664"/>
      <c r="AF1015" s="77"/>
      <c r="AG1015" s="7"/>
      <c r="AH1015" s="7"/>
      <c r="AI1015" s="78"/>
      <c r="AJ1015" s="1712"/>
      <c r="AK1015" s="1713"/>
      <c r="AL1015" s="1713"/>
      <c r="AM1015" s="1713"/>
      <c r="AN1015" s="1713"/>
      <c r="AO1015" s="1713"/>
      <c r="AP1015" s="1713"/>
      <c r="AQ1015" s="1714"/>
      <c r="AR1015" s="68"/>
      <c r="AS1015" s="68"/>
      <c r="AT1015" s="68"/>
      <c r="AU1015" s="68"/>
      <c r="AV1015" s="68"/>
      <c r="AW1015" s="68"/>
      <c r="AX1015" s="68"/>
      <c r="AY1015" s="909">
        <f>ROUNDDOWN(X1061/I1061,2)</f>
        <v>0.1</v>
      </c>
      <c r="AZ1015" s="34"/>
      <c r="BB1015" s="34"/>
    </row>
    <row r="1016" spans="1:55" ht="12.95" customHeight="1">
      <c r="A1016" s="14"/>
      <c r="B1016" s="255"/>
      <c r="C1016" s="80" t="s">
        <v>672</v>
      </c>
      <c r="D1016" s="1665" t="s">
        <v>1672</v>
      </c>
      <c r="E1016" s="1666"/>
      <c r="F1016" s="1666"/>
      <c r="G1016" s="1666"/>
      <c r="H1016" s="1666"/>
      <c r="I1016" s="1666"/>
      <c r="J1016" s="1666"/>
      <c r="K1016" s="1666"/>
      <c r="L1016" s="1666"/>
      <c r="M1016" s="1666"/>
      <c r="N1016" s="1666"/>
      <c r="O1016" s="1666"/>
      <c r="P1016" s="1666"/>
      <c r="Q1016" s="1666"/>
      <c r="R1016" s="1666"/>
      <c r="S1016" s="1666"/>
      <c r="T1016" s="1666"/>
      <c r="U1016" s="1666"/>
      <c r="V1016" s="1666"/>
      <c r="W1016" s="1666"/>
      <c r="X1016" s="1666"/>
      <c r="Y1016" s="1666"/>
      <c r="Z1016" s="1666"/>
      <c r="AA1016" s="1666"/>
      <c r="AB1016" s="1666"/>
      <c r="AC1016" s="1666"/>
      <c r="AD1016" s="1666"/>
      <c r="AE1016" s="1667"/>
      <c r="AF1016" s="86"/>
      <c r="AG1016" s="1649" t="s">
        <v>669</v>
      </c>
      <c r="AH1016" s="1650"/>
      <c r="AI1016" s="87"/>
      <c r="AJ1016" s="1700">
        <f>ROUND(IF(AG1016="yes",AJ1001*0.1,0),0)</f>
        <v>0</v>
      </c>
      <c r="AK1016" s="1701"/>
      <c r="AL1016" s="1701"/>
      <c r="AM1016" s="1701"/>
      <c r="AN1016" s="1701"/>
      <c r="AO1016" s="1701"/>
      <c r="AP1016" s="1701"/>
      <c r="AQ1016" s="1702"/>
      <c r="AR1016" s="68"/>
      <c r="AS1016" s="68"/>
      <c r="AT1016" s="68"/>
      <c r="AU1016" s="68"/>
      <c r="AV1016" s="68"/>
      <c r="AW1016" s="68"/>
      <c r="AX1016" s="68"/>
      <c r="BB1016" s="34"/>
    </row>
    <row r="1017" spans="1:55" ht="12.95" customHeight="1">
      <c r="A1017" s="14"/>
      <c r="B1017" s="73"/>
      <c r="C1017" s="74"/>
      <c r="D1017" s="1706" t="s">
        <v>1285</v>
      </c>
      <c r="E1017" s="1707"/>
      <c r="F1017" s="1707"/>
      <c r="G1017" s="1707"/>
      <c r="H1017" s="1707"/>
      <c r="I1017" s="1707"/>
      <c r="J1017" s="1707"/>
      <c r="K1017" s="1707"/>
      <c r="L1017" s="1707"/>
      <c r="M1017" s="1707"/>
      <c r="N1017" s="1707"/>
      <c r="O1017" s="1707"/>
      <c r="P1017" s="1707"/>
      <c r="Q1017" s="1707"/>
      <c r="R1017" s="1707"/>
      <c r="S1017" s="1707"/>
      <c r="T1017" s="1707"/>
      <c r="U1017" s="1707"/>
      <c r="V1017" s="1707"/>
      <c r="W1017" s="1707"/>
      <c r="X1017" s="1707"/>
      <c r="Y1017" s="1707"/>
      <c r="Z1017" s="1707"/>
      <c r="AA1017" s="1707"/>
      <c r="AB1017" s="1707"/>
      <c r="AC1017" s="1707"/>
      <c r="AD1017" s="1707"/>
      <c r="AE1017" s="1708"/>
      <c r="AF1017" s="73"/>
      <c r="AI1017" s="83"/>
      <c r="AJ1017" s="1703"/>
      <c r="AK1017" s="1704"/>
      <c r="AL1017" s="1704"/>
      <c r="AM1017" s="1704"/>
      <c r="AN1017" s="1704"/>
      <c r="AO1017" s="1704"/>
      <c r="AP1017" s="1704"/>
      <c r="AQ1017" s="1705"/>
      <c r="AR1017" s="68"/>
      <c r="AS1017" s="68"/>
      <c r="AT1017" s="68"/>
      <c r="AU1017" s="68"/>
      <c r="AV1017" s="68"/>
      <c r="AW1017" s="68"/>
      <c r="AX1017" s="68"/>
    </row>
    <row r="1018" spans="1:55" ht="12.95" customHeight="1">
      <c r="A1018" s="14"/>
      <c r="B1018" s="73"/>
      <c r="C1018" s="74"/>
      <c r="D1018" s="1706"/>
      <c r="E1018" s="1707"/>
      <c r="F1018" s="1707"/>
      <c r="G1018" s="1707"/>
      <c r="H1018" s="1707"/>
      <c r="I1018" s="1707"/>
      <c r="J1018" s="1707"/>
      <c r="K1018" s="1707"/>
      <c r="L1018" s="1707"/>
      <c r="M1018" s="1707"/>
      <c r="N1018" s="1707"/>
      <c r="O1018" s="1707"/>
      <c r="P1018" s="1707"/>
      <c r="Q1018" s="1707"/>
      <c r="R1018" s="1707"/>
      <c r="S1018" s="1707"/>
      <c r="T1018" s="1707"/>
      <c r="U1018" s="1707"/>
      <c r="V1018" s="1707"/>
      <c r="W1018" s="1707"/>
      <c r="X1018" s="1707"/>
      <c r="Y1018" s="1707"/>
      <c r="Z1018" s="1707"/>
      <c r="AA1018" s="1707"/>
      <c r="AB1018" s="1707"/>
      <c r="AC1018" s="1707"/>
      <c r="AD1018" s="1707"/>
      <c r="AE1018" s="1708"/>
      <c r="AF1018" s="73"/>
      <c r="AG1018" s="14"/>
      <c r="AH1018" s="14"/>
      <c r="AI1018" s="83"/>
      <c r="AJ1018" s="1703"/>
      <c r="AK1018" s="1704"/>
      <c r="AL1018" s="1704"/>
      <c r="AM1018" s="1704"/>
      <c r="AN1018" s="1704"/>
      <c r="AO1018" s="1704"/>
      <c r="AP1018" s="1704"/>
      <c r="AQ1018" s="1705"/>
      <c r="AR1018" s="68"/>
      <c r="AS1018" s="68"/>
      <c r="AT1018" s="68"/>
      <c r="AU1018" s="68"/>
      <c r="AV1018" s="68"/>
      <c r="AW1018" s="68"/>
      <c r="AX1018" s="68"/>
    </row>
    <row r="1019" spans="1:55" ht="12.95" customHeight="1">
      <c r="A1019" s="14"/>
      <c r="B1019" s="85"/>
      <c r="C1019" s="76"/>
      <c r="D1019" s="1709"/>
      <c r="E1019" s="1710"/>
      <c r="F1019" s="1710"/>
      <c r="G1019" s="1710"/>
      <c r="H1019" s="1710"/>
      <c r="I1019" s="1710"/>
      <c r="J1019" s="1710"/>
      <c r="K1019" s="1710"/>
      <c r="L1019" s="1710"/>
      <c r="M1019" s="1710"/>
      <c r="N1019" s="1710"/>
      <c r="O1019" s="1710"/>
      <c r="P1019" s="1710"/>
      <c r="Q1019" s="1710"/>
      <c r="R1019" s="1710"/>
      <c r="S1019" s="1710"/>
      <c r="T1019" s="1710"/>
      <c r="U1019" s="1710"/>
      <c r="V1019" s="1710"/>
      <c r="W1019" s="1710"/>
      <c r="X1019" s="1710"/>
      <c r="Y1019" s="1710"/>
      <c r="Z1019" s="1710"/>
      <c r="AA1019" s="1710"/>
      <c r="AB1019" s="1710"/>
      <c r="AC1019" s="1710"/>
      <c r="AD1019" s="1710"/>
      <c r="AE1019" s="1711"/>
      <c r="AF1019" s="77"/>
      <c r="AG1019" s="7"/>
      <c r="AH1019" s="7"/>
      <c r="AI1019" s="78"/>
      <c r="AJ1019" s="1712"/>
      <c r="AK1019" s="1713"/>
      <c r="AL1019" s="1713"/>
      <c r="AM1019" s="1713"/>
      <c r="AN1019" s="1713"/>
      <c r="AO1019" s="1713"/>
      <c r="AP1019" s="1713"/>
      <c r="AQ1019" s="1714"/>
      <c r="AR1019" s="68"/>
      <c r="AS1019" s="68"/>
      <c r="AT1019" s="68"/>
      <c r="AU1019" s="68"/>
      <c r="AV1019" s="68"/>
      <c r="AW1019" s="68"/>
      <c r="AX1019" s="68"/>
    </row>
    <row r="1020" spans="1:55" ht="12.95" customHeight="1">
      <c r="A1020" s="14"/>
      <c r="B1020" s="79"/>
      <c r="C1020" s="80" t="s">
        <v>212</v>
      </c>
      <c r="D1020" s="1665" t="s">
        <v>1287</v>
      </c>
      <c r="E1020" s="1666"/>
      <c r="F1020" s="1666"/>
      <c r="G1020" s="1666"/>
      <c r="H1020" s="1666"/>
      <c r="I1020" s="1666"/>
      <c r="J1020" s="1666"/>
      <c r="K1020" s="1666"/>
      <c r="L1020" s="1666"/>
      <c r="M1020" s="1666"/>
      <c r="N1020" s="1666"/>
      <c r="O1020" s="1666"/>
      <c r="P1020" s="1666"/>
      <c r="Q1020" s="1666"/>
      <c r="R1020" s="1666"/>
      <c r="S1020" s="1666"/>
      <c r="T1020" s="1666"/>
      <c r="U1020" s="1666"/>
      <c r="V1020" s="1666"/>
      <c r="W1020" s="1666"/>
      <c r="X1020" s="1666"/>
      <c r="Y1020" s="1666"/>
      <c r="Z1020" s="1666"/>
      <c r="AA1020" s="1666"/>
      <c r="AB1020" s="1666"/>
      <c r="AC1020" s="1666"/>
      <c r="AD1020" s="1666"/>
      <c r="AE1020" s="1667"/>
      <c r="AF1020" s="79"/>
      <c r="AG1020" s="1649" t="s">
        <v>669</v>
      </c>
      <c r="AH1020" s="1650"/>
      <c r="AI1020" s="87"/>
      <c r="AJ1020" s="1700">
        <f>ROUND(IF(AG1020="yes",AJ1001*0.02,0),0)</f>
        <v>0</v>
      </c>
      <c r="AK1020" s="1701"/>
      <c r="AL1020" s="1701"/>
      <c r="AM1020" s="1701"/>
      <c r="AN1020" s="1701"/>
      <c r="AO1020" s="1701"/>
      <c r="AP1020" s="1701"/>
      <c r="AQ1020" s="1702"/>
      <c r="AR1020" s="68"/>
      <c r="AS1020" s="68"/>
      <c r="AT1020" s="68"/>
      <c r="AU1020" s="68"/>
      <c r="AV1020" s="68"/>
      <c r="AW1020" s="68"/>
      <c r="AX1020" s="68"/>
    </row>
    <row r="1021" spans="1:55" ht="14.25" customHeight="1">
      <c r="A1021" s="14"/>
      <c r="B1021" s="73"/>
      <c r="C1021" s="74"/>
      <c r="D1021" s="1709" t="s">
        <v>1288</v>
      </c>
      <c r="E1021" s="1710"/>
      <c r="F1021" s="1710"/>
      <c r="G1021" s="1710"/>
      <c r="H1021" s="1710"/>
      <c r="I1021" s="1710"/>
      <c r="J1021" s="1710"/>
      <c r="K1021" s="1710"/>
      <c r="L1021" s="1710"/>
      <c r="M1021" s="1710"/>
      <c r="N1021" s="1710"/>
      <c r="O1021" s="1710"/>
      <c r="P1021" s="1710"/>
      <c r="Q1021" s="1710"/>
      <c r="R1021" s="1710"/>
      <c r="S1021" s="1710"/>
      <c r="T1021" s="1710"/>
      <c r="U1021" s="1710"/>
      <c r="V1021" s="1710"/>
      <c r="W1021" s="1710"/>
      <c r="X1021" s="1710"/>
      <c r="Y1021" s="1710"/>
      <c r="Z1021" s="1710"/>
      <c r="AA1021" s="1710"/>
      <c r="AB1021" s="1710"/>
      <c r="AC1021" s="1710"/>
      <c r="AD1021" s="1710"/>
      <c r="AE1021" s="1711"/>
      <c r="AF1021" s="77"/>
      <c r="AG1021" s="7"/>
      <c r="AH1021" s="7"/>
      <c r="AI1021" s="78"/>
      <c r="AJ1021" s="1712"/>
      <c r="AK1021" s="1713"/>
      <c r="AL1021" s="1713"/>
      <c r="AM1021" s="1713"/>
      <c r="AN1021" s="1713"/>
      <c r="AO1021" s="1713"/>
      <c r="AP1021" s="1713"/>
      <c r="AQ1021" s="1714"/>
      <c r="AR1021" s="68"/>
      <c r="AS1021" s="68"/>
      <c r="AT1021" s="68"/>
      <c r="AU1021" s="68"/>
      <c r="AV1021" s="68"/>
      <c r="AW1021" s="68"/>
      <c r="AX1021" s="3" t="s">
        <v>1817</v>
      </c>
      <c r="AZ1021" s="3" t="s">
        <v>2531</v>
      </c>
    </row>
    <row r="1022" spans="1:55" ht="12.95" customHeight="1">
      <c r="A1022" s="14"/>
      <c r="B1022" s="79"/>
      <c r="C1022" s="80" t="s">
        <v>215</v>
      </c>
      <c r="D1022" s="1665" t="s">
        <v>1289</v>
      </c>
      <c r="E1022" s="1666"/>
      <c r="F1022" s="1666"/>
      <c r="G1022" s="1666"/>
      <c r="H1022" s="1666"/>
      <c r="I1022" s="1666"/>
      <c r="J1022" s="1666"/>
      <c r="K1022" s="1666"/>
      <c r="L1022" s="1666"/>
      <c r="M1022" s="1666"/>
      <c r="N1022" s="1666"/>
      <c r="O1022" s="1666"/>
      <c r="P1022" s="1666"/>
      <c r="Q1022" s="1666"/>
      <c r="R1022" s="1666"/>
      <c r="S1022" s="1666"/>
      <c r="T1022" s="1666"/>
      <c r="U1022" s="1666"/>
      <c r="V1022" s="1666"/>
      <c r="W1022" s="1666"/>
      <c r="X1022" s="1666"/>
      <c r="Y1022" s="1666"/>
      <c r="Z1022" s="1666"/>
      <c r="AA1022" s="1666"/>
      <c r="AB1022" s="1666"/>
      <c r="AC1022" s="1666"/>
      <c r="AD1022" s="1666"/>
      <c r="AE1022" s="1667"/>
      <c r="AF1022" s="79"/>
      <c r="AG1022" s="1649" t="s">
        <v>669</v>
      </c>
      <c r="AH1022" s="1650"/>
      <c r="AI1022" s="79"/>
      <c r="AJ1022" s="1700">
        <f>ROUND(IF(AG1022="yes",AJ1001*0.02,0),0)</f>
        <v>0</v>
      </c>
      <c r="AK1022" s="1701"/>
      <c r="AL1022" s="1701"/>
      <c r="AM1022" s="1701"/>
      <c r="AN1022" s="1701"/>
      <c r="AO1022" s="1701"/>
      <c r="AP1022" s="1701"/>
      <c r="AQ1022" s="1702"/>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06" t="s">
        <v>1290</v>
      </c>
      <c r="E1023" s="1707"/>
      <c r="F1023" s="1707"/>
      <c r="G1023" s="1707"/>
      <c r="H1023" s="1707"/>
      <c r="I1023" s="1707"/>
      <c r="J1023" s="1707"/>
      <c r="K1023" s="1707"/>
      <c r="L1023" s="1707"/>
      <c r="M1023" s="1707"/>
      <c r="N1023" s="1707"/>
      <c r="O1023" s="1707"/>
      <c r="P1023" s="1707"/>
      <c r="Q1023" s="1707"/>
      <c r="R1023" s="1707"/>
      <c r="S1023" s="1707"/>
      <c r="T1023" s="1707"/>
      <c r="U1023" s="1707"/>
      <c r="V1023" s="1707"/>
      <c r="W1023" s="1707"/>
      <c r="X1023" s="1707"/>
      <c r="Y1023" s="1707"/>
      <c r="Z1023" s="1707"/>
      <c r="AA1023" s="1707"/>
      <c r="AB1023" s="1707"/>
      <c r="AC1023" s="1707"/>
      <c r="AD1023" s="1707"/>
      <c r="AE1023" s="1708"/>
      <c r="AF1023" s="1791" t="str">
        <f>IF(AND(AG1022="yes",T212&lt;&gt;1),"The project may not be eligible for this boost","")</f>
        <v/>
      </c>
      <c r="AG1023" s="1792"/>
      <c r="AH1023" s="1792"/>
      <c r="AI1023" s="1793"/>
      <c r="AJ1023" s="1703"/>
      <c r="AK1023" s="1704"/>
      <c r="AL1023" s="1704"/>
      <c r="AM1023" s="1704"/>
      <c r="AN1023" s="1704"/>
      <c r="AO1023" s="1704"/>
      <c r="AP1023" s="1704"/>
      <c r="AQ1023" s="1705"/>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09"/>
      <c r="E1024" s="1710"/>
      <c r="F1024" s="1710"/>
      <c r="G1024" s="1710"/>
      <c r="H1024" s="1710"/>
      <c r="I1024" s="1710"/>
      <c r="J1024" s="1710"/>
      <c r="K1024" s="1710"/>
      <c r="L1024" s="1710"/>
      <c r="M1024" s="1710"/>
      <c r="N1024" s="1710"/>
      <c r="O1024" s="1710"/>
      <c r="P1024" s="1710"/>
      <c r="Q1024" s="1710"/>
      <c r="R1024" s="1710"/>
      <c r="S1024" s="1710"/>
      <c r="T1024" s="1710"/>
      <c r="U1024" s="1710"/>
      <c r="V1024" s="1710"/>
      <c r="W1024" s="1710"/>
      <c r="X1024" s="1710"/>
      <c r="Y1024" s="1710"/>
      <c r="Z1024" s="1710"/>
      <c r="AA1024" s="1710"/>
      <c r="AB1024" s="1710"/>
      <c r="AC1024" s="1710"/>
      <c r="AD1024" s="1710"/>
      <c r="AE1024" s="1711"/>
      <c r="AF1024" s="1794"/>
      <c r="AG1024" s="1795"/>
      <c r="AH1024" s="1795"/>
      <c r="AI1024" s="1796"/>
      <c r="AJ1024" s="1712"/>
      <c r="AK1024" s="1713"/>
      <c r="AL1024" s="1713"/>
      <c r="AM1024" s="1713"/>
      <c r="AN1024" s="1713"/>
      <c r="AO1024" s="1713"/>
      <c r="AP1024" s="1713"/>
      <c r="AQ1024" s="1714"/>
      <c r="AR1024" s="68"/>
      <c r="AS1024" s="68"/>
      <c r="AT1024" s="68"/>
      <c r="AU1024" s="68"/>
      <c r="AV1024" s="68"/>
      <c r="AW1024" s="68"/>
      <c r="AX1024" s="3">
        <v>3</v>
      </c>
      <c r="AY1024" s="200">
        <f t="shared" si="55"/>
        <v>0</v>
      </c>
      <c r="AZ1024" s="1189">
        <v>0.05</v>
      </c>
    </row>
    <row r="1025" spans="1:52" ht="12.95" customHeight="1">
      <c r="A1025" s="14"/>
      <c r="B1025" s="79"/>
      <c r="C1025" s="80" t="s">
        <v>218</v>
      </c>
      <c r="D1025" s="1687" t="s">
        <v>2189</v>
      </c>
      <c r="E1025" s="1688"/>
      <c r="F1025" s="1688"/>
      <c r="G1025" s="1688"/>
      <c r="H1025" s="1688"/>
      <c r="I1025" s="1688"/>
      <c r="J1025" s="1688"/>
      <c r="K1025" s="1688"/>
      <c r="L1025" s="1688"/>
      <c r="M1025" s="1688"/>
      <c r="N1025" s="1688"/>
      <c r="O1025" s="1688"/>
      <c r="P1025" s="1688"/>
      <c r="Q1025" s="1688"/>
      <c r="R1025" s="1688"/>
      <c r="S1025" s="1688"/>
      <c r="T1025" s="1688"/>
      <c r="U1025" s="1688"/>
      <c r="V1025" s="1688"/>
      <c r="W1025" s="1688"/>
      <c r="X1025" s="1688"/>
      <c r="Y1025" s="1688"/>
      <c r="Z1025" s="1688"/>
      <c r="AA1025" s="1688"/>
      <c r="AB1025" s="1688"/>
      <c r="AC1025" s="1688"/>
      <c r="AD1025" s="1688"/>
      <c r="AE1025" s="1689"/>
      <c r="AF1025" s="79"/>
      <c r="AG1025" s="1649" t="s">
        <v>669</v>
      </c>
      <c r="AH1025" s="1650"/>
      <c r="AI1025" s="87"/>
      <c r="AJ1025" s="1700">
        <f>IF(AG1025="yes",AJ1001*AY1033,0)</f>
        <v>0</v>
      </c>
      <c r="AK1025" s="1701"/>
      <c r="AL1025" s="1701"/>
      <c r="AM1025" s="1701"/>
      <c r="AN1025" s="1701"/>
      <c r="AO1025" s="1701"/>
      <c r="AP1025" s="1701"/>
      <c r="AQ1025" s="1702"/>
      <c r="AR1025" s="68"/>
      <c r="AS1025" s="68"/>
      <c r="AT1025" s="68"/>
      <c r="AU1025" s="68"/>
      <c r="AV1025" s="68"/>
      <c r="AW1025" s="68"/>
      <c r="AX1025" s="3">
        <v>4</v>
      </c>
      <c r="AY1025" s="200">
        <f t="shared" si="55"/>
        <v>0</v>
      </c>
      <c r="AZ1025" s="1189">
        <v>0.02</v>
      </c>
    </row>
    <row r="1026" spans="1:52" ht="12.95" customHeight="1">
      <c r="A1026" s="14"/>
      <c r="B1026" s="73"/>
      <c r="C1026" s="74"/>
      <c r="D1026" s="1706" t="s">
        <v>2593</v>
      </c>
      <c r="E1026" s="1707"/>
      <c r="F1026" s="1707"/>
      <c r="G1026" s="1707"/>
      <c r="H1026" s="1707"/>
      <c r="I1026" s="1707"/>
      <c r="J1026" s="1707"/>
      <c r="K1026" s="1707"/>
      <c r="L1026" s="1707"/>
      <c r="M1026" s="1707"/>
      <c r="N1026" s="1707"/>
      <c r="O1026" s="1707"/>
      <c r="P1026" s="1707"/>
      <c r="Q1026" s="1707"/>
      <c r="R1026" s="1707"/>
      <c r="S1026" s="1707"/>
      <c r="T1026" s="1707"/>
      <c r="U1026" s="1707"/>
      <c r="V1026" s="1707"/>
      <c r="W1026" s="1707"/>
      <c r="X1026" s="1707"/>
      <c r="Y1026" s="1707"/>
      <c r="Z1026" s="1707"/>
      <c r="AA1026" s="1707"/>
      <c r="AB1026" s="1707"/>
      <c r="AC1026" s="1707"/>
      <c r="AD1026" s="1707"/>
      <c r="AE1026" s="1708"/>
      <c r="AF1026" s="1785" t="str">
        <f>IF(AND(AG1025="Yes",AY1033=0),AY1036,"")</f>
        <v/>
      </c>
      <c r="AG1026" s="1786"/>
      <c r="AH1026" s="1786"/>
      <c r="AI1026" s="1787"/>
      <c r="AJ1026" s="1703"/>
      <c r="AK1026" s="1704"/>
      <c r="AL1026" s="1704"/>
      <c r="AM1026" s="1704"/>
      <c r="AN1026" s="1704"/>
      <c r="AO1026" s="1704"/>
      <c r="AP1026" s="1704"/>
      <c r="AQ1026" s="1705"/>
      <c r="AR1026" s="68"/>
      <c r="AS1026" s="68"/>
      <c r="AT1026" s="68"/>
      <c r="AU1026" s="68"/>
      <c r="AV1026" s="68"/>
      <c r="AW1026" s="68"/>
      <c r="AX1026" s="3">
        <v>5</v>
      </c>
      <c r="AY1026" s="200">
        <f t="shared" si="55"/>
        <v>0</v>
      </c>
      <c r="AZ1026" s="1189">
        <v>0.04</v>
      </c>
    </row>
    <row r="1027" spans="1:52" ht="12.95" customHeight="1">
      <c r="A1027" s="14"/>
      <c r="B1027" s="73"/>
      <c r="C1027" s="74"/>
      <c r="D1027" s="1706"/>
      <c r="E1027" s="1707"/>
      <c r="F1027" s="1707"/>
      <c r="G1027" s="1707"/>
      <c r="H1027" s="1707"/>
      <c r="I1027" s="1707"/>
      <c r="J1027" s="1707"/>
      <c r="K1027" s="1707"/>
      <c r="L1027" s="1707"/>
      <c r="M1027" s="1707"/>
      <c r="N1027" s="1707"/>
      <c r="O1027" s="1707"/>
      <c r="P1027" s="1707"/>
      <c r="Q1027" s="1707"/>
      <c r="R1027" s="1707"/>
      <c r="S1027" s="1707"/>
      <c r="T1027" s="1707"/>
      <c r="U1027" s="1707"/>
      <c r="V1027" s="1707"/>
      <c r="W1027" s="1707"/>
      <c r="X1027" s="1707"/>
      <c r="Y1027" s="1707"/>
      <c r="Z1027" s="1707"/>
      <c r="AA1027" s="1707"/>
      <c r="AB1027" s="1707"/>
      <c r="AC1027" s="1707"/>
      <c r="AD1027" s="1707"/>
      <c r="AE1027" s="1708"/>
      <c r="AF1027" s="1785"/>
      <c r="AG1027" s="1786"/>
      <c r="AH1027" s="1786"/>
      <c r="AI1027" s="1787"/>
      <c r="AJ1027" s="1703"/>
      <c r="AK1027" s="1704"/>
      <c r="AL1027" s="1704"/>
      <c r="AM1027" s="1704"/>
      <c r="AN1027" s="1704"/>
      <c r="AO1027" s="1704"/>
      <c r="AP1027" s="1704"/>
      <c r="AQ1027" s="1705"/>
      <c r="AR1027" s="68"/>
      <c r="AS1027" s="68"/>
      <c r="AT1027" s="68"/>
      <c r="AU1027" s="68"/>
      <c r="AV1027" s="68"/>
      <c r="AW1027" s="68"/>
      <c r="AX1027" s="3">
        <v>6</v>
      </c>
      <c r="AY1027" s="200">
        <f t="shared" si="55"/>
        <v>0</v>
      </c>
      <c r="AZ1027" s="1189">
        <v>0.04</v>
      </c>
    </row>
    <row r="1028" spans="1:52" ht="12.95" customHeight="1">
      <c r="A1028" s="14"/>
      <c r="B1028" s="81"/>
      <c r="C1028" s="82"/>
      <c r="D1028" s="1709"/>
      <c r="E1028" s="1710"/>
      <c r="F1028" s="1710"/>
      <c r="G1028" s="1710"/>
      <c r="H1028" s="1710"/>
      <c r="I1028" s="1710"/>
      <c r="J1028" s="1710"/>
      <c r="K1028" s="1710"/>
      <c r="L1028" s="1710"/>
      <c r="M1028" s="1710"/>
      <c r="N1028" s="1710"/>
      <c r="O1028" s="1710"/>
      <c r="P1028" s="1710"/>
      <c r="Q1028" s="1710"/>
      <c r="R1028" s="1710"/>
      <c r="S1028" s="1710"/>
      <c r="T1028" s="1710"/>
      <c r="U1028" s="1710"/>
      <c r="V1028" s="1710"/>
      <c r="W1028" s="1710"/>
      <c r="X1028" s="1710"/>
      <c r="Y1028" s="1710"/>
      <c r="Z1028" s="1710"/>
      <c r="AA1028" s="1710"/>
      <c r="AB1028" s="1710"/>
      <c r="AC1028" s="1710"/>
      <c r="AD1028" s="1710"/>
      <c r="AE1028" s="1711"/>
      <c r="AF1028" s="1788"/>
      <c r="AG1028" s="1789"/>
      <c r="AH1028" s="1789"/>
      <c r="AI1028" s="1790"/>
      <c r="AJ1028" s="1712"/>
      <c r="AK1028" s="1713"/>
      <c r="AL1028" s="1713"/>
      <c r="AM1028" s="1713"/>
      <c r="AN1028" s="1713"/>
      <c r="AO1028" s="1713"/>
      <c r="AP1028" s="1713"/>
      <c r="AQ1028" s="1714"/>
      <c r="AR1028" s="68"/>
      <c r="AS1028" s="68"/>
      <c r="AT1028" s="68"/>
      <c r="AU1028" s="68"/>
      <c r="AV1028" s="68"/>
      <c r="AW1028" s="68"/>
      <c r="AX1028" s="3">
        <v>7</v>
      </c>
      <c r="AY1028" s="200">
        <f t="shared" si="55"/>
        <v>0</v>
      </c>
      <c r="AZ1028" s="1189">
        <v>0.01</v>
      </c>
    </row>
    <row r="1029" spans="1:52" ht="12.95" customHeight="1">
      <c r="A1029" s="14"/>
      <c r="B1029" s="79"/>
      <c r="C1029" s="80" t="s">
        <v>223</v>
      </c>
      <c r="D1029" s="1730" t="s">
        <v>1291</v>
      </c>
      <c r="E1029" s="1731"/>
      <c r="F1029" s="1731"/>
      <c r="G1029" s="1731"/>
      <c r="H1029" s="1731"/>
      <c r="I1029" s="1731"/>
      <c r="J1029" s="1731"/>
      <c r="K1029" s="1731"/>
      <c r="L1029" s="1731"/>
      <c r="M1029" s="1731"/>
      <c r="N1029" s="1731"/>
      <c r="O1029" s="1731"/>
      <c r="P1029" s="1731"/>
      <c r="Q1029" s="1731"/>
      <c r="R1029" s="1731"/>
      <c r="S1029" s="1731"/>
      <c r="T1029" s="1731"/>
      <c r="U1029" s="1731"/>
      <c r="V1029" s="1731"/>
      <c r="W1029" s="1731"/>
      <c r="X1029" s="1731"/>
      <c r="Y1029" s="1731"/>
      <c r="Z1029" s="1731"/>
      <c r="AA1029" s="1731"/>
      <c r="AB1029" s="1731"/>
      <c r="AC1029" s="1731"/>
      <c r="AD1029" s="1731"/>
      <c r="AE1029" s="1732"/>
      <c r="AF1029" s="79"/>
      <c r="AG1029" s="1649" t="s">
        <v>669</v>
      </c>
      <c r="AH1029" s="1650"/>
      <c r="AI1029" s="87"/>
      <c r="AJ1029" s="1700">
        <f>ROUND(IF(AND(AG1029="Yes",J1033&lt;&gt;"N/A",AF1032&lt;&gt;""),MIN(AF1032,(0.15*AJ1001)),0),0)</f>
        <v>0</v>
      </c>
      <c r="AK1029" s="1701"/>
      <c r="AL1029" s="1701"/>
      <c r="AM1029" s="1701"/>
      <c r="AN1029" s="1701"/>
      <c r="AO1029" s="1701"/>
      <c r="AP1029" s="1701"/>
      <c r="AQ1029" s="1702"/>
      <c r="AR1029" s="68"/>
      <c r="AS1029" s="68"/>
      <c r="AT1029" s="68"/>
      <c r="AU1029" s="68"/>
      <c r="AV1029" s="68"/>
      <c r="AW1029" s="68"/>
      <c r="AX1029" s="3">
        <v>8</v>
      </c>
      <c r="AY1029" s="200">
        <f t="shared" si="55"/>
        <v>0</v>
      </c>
      <c r="AZ1029" s="1189">
        <v>0.01</v>
      </c>
    </row>
    <row r="1030" spans="1:52" ht="12.95" customHeight="1">
      <c r="A1030" s="14"/>
      <c r="B1030" s="81"/>
      <c r="C1030" s="84"/>
      <c r="D1030" s="1733"/>
      <c r="E1030" s="1734"/>
      <c r="F1030" s="1734"/>
      <c r="G1030" s="1734"/>
      <c r="H1030" s="1734"/>
      <c r="I1030" s="1734"/>
      <c r="J1030" s="1734"/>
      <c r="K1030" s="1734"/>
      <c r="L1030" s="1734"/>
      <c r="M1030" s="1734"/>
      <c r="N1030" s="1734"/>
      <c r="O1030" s="1734"/>
      <c r="P1030" s="1734"/>
      <c r="Q1030" s="1734"/>
      <c r="R1030" s="1734"/>
      <c r="S1030" s="1734"/>
      <c r="T1030" s="1734"/>
      <c r="U1030" s="1734"/>
      <c r="V1030" s="1734"/>
      <c r="W1030" s="1734"/>
      <c r="X1030" s="1734"/>
      <c r="Y1030" s="1734"/>
      <c r="Z1030" s="1734"/>
      <c r="AA1030" s="1734"/>
      <c r="AB1030" s="1734"/>
      <c r="AC1030" s="1734"/>
      <c r="AD1030" s="1734"/>
      <c r="AE1030" s="1735"/>
      <c r="AF1030" s="1656" t="str">
        <f>IF(AG1029="yes","Please Select Type and Enter Amount:","")</f>
        <v/>
      </c>
      <c r="AG1030" s="1657"/>
      <c r="AH1030" s="1657"/>
      <c r="AI1030" s="1658"/>
      <c r="AJ1030" s="1703"/>
      <c r="AK1030" s="1704"/>
      <c r="AL1030" s="1704"/>
      <c r="AM1030" s="1704"/>
      <c r="AN1030" s="1704"/>
      <c r="AO1030" s="1704"/>
      <c r="AP1030" s="1704"/>
      <c r="AQ1030" s="1705"/>
      <c r="AR1030" s="68"/>
      <c r="AS1030" s="68"/>
      <c r="AT1030" s="68"/>
      <c r="AU1030" s="68"/>
      <c r="AV1030" s="68"/>
      <c r="AW1030" s="68"/>
      <c r="AX1030" s="3">
        <v>9</v>
      </c>
      <c r="AY1030" s="200">
        <f t="shared" si="55"/>
        <v>0</v>
      </c>
      <c r="AZ1030" s="1189">
        <v>0.01</v>
      </c>
    </row>
    <row r="1031" spans="1:52" ht="12.95" customHeight="1">
      <c r="A1031" s="14"/>
      <c r="B1031" s="81"/>
      <c r="C1031" s="84"/>
      <c r="D1031" s="1706" t="s">
        <v>1292</v>
      </c>
      <c r="E1031" s="1707"/>
      <c r="F1031" s="1707"/>
      <c r="G1031" s="1707"/>
      <c r="H1031" s="1707"/>
      <c r="I1031" s="1707"/>
      <c r="J1031" s="1707"/>
      <c r="K1031" s="1707"/>
      <c r="L1031" s="1707"/>
      <c r="M1031" s="1707"/>
      <c r="N1031" s="1707"/>
      <c r="O1031" s="1707"/>
      <c r="P1031" s="1707"/>
      <c r="Q1031" s="1707"/>
      <c r="R1031" s="1707"/>
      <c r="S1031" s="1707"/>
      <c r="T1031" s="1707"/>
      <c r="U1031" s="1707"/>
      <c r="V1031" s="1707"/>
      <c r="W1031" s="1707"/>
      <c r="X1031" s="1707"/>
      <c r="Y1031" s="1707"/>
      <c r="Z1031" s="1707"/>
      <c r="AA1031" s="1707"/>
      <c r="AB1031" s="1707"/>
      <c r="AC1031" s="1707"/>
      <c r="AD1031" s="1707"/>
      <c r="AE1031" s="1708"/>
      <c r="AF1031" s="1656"/>
      <c r="AG1031" s="1657"/>
      <c r="AH1031" s="1657"/>
      <c r="AI1031" s="1658"/>
      <c r="AJ1031" s="1703"/>
      <c r="AK1031" s="1704"/>
      <c r="AL1031" s="1704"/>
      <c r="AM1031" s="1704"/>
      <c r="AN1031" s="1704"/>
      <c r="AO1031" s="1704"/>
      <c r="AP1031" s="1704"/>
      <c r="AQ1031" s="1705"/>
      <c r="AR1031" s="68"/>
      <c r="AS1031" s="68"/>
      <c r="AT1031" s="68"/>
      <c r="AU1031" s="68"/>
      <c r="AV1031" s="68"/>
      <c r="AW1031" s="68"/>
      <c r="AX1031" s="3">
        <v>10</v>
      </c>
      <c r="AY1031" s="200">
        <f t="shared" si="55"/>
        <v>0</v>
      </c>
      <c r="AZ1031" s="1189">
        <v>0.02</v>
      </c>
    </row>
    <row r="1032" spans="1:52" ht="12.95" customHeight="1">
      <c r="A1032" s="14"/>
      <c r="B1032" s="81"/>
      <c r="C1032" s="84"/>
      <c r="D1032" s="1706"/>
      <c r="E1032" s="1707"/>
      <c r="F1032" s="1707"/>
      <c r="G1032" s="1707"/>
      <c r="H1032" s="1707"/>
      <c r="I1032" s="1707"/>
      <c r="J1032" s="1707"/>
      <c r="K1032" s="1707"/>
      <c r="L1032" s="1707"/>
      <c r="M1032" s="1707"/>
      <c r="N1032" s="1707"/>
      <c r="O1032" s="1707"/>
      <c r="P1032" s="1707"/>
      <c r="Q1032" s="1707"/>
      <c r="R1032" s="1707"/>
      <c r="S1032" s="1707"/>
      <c r="T1032" s="1707"/>
      <c r="U1032" s="1707"/>
      <c r="V1032" s="1707"/>
      <c r="W1032" s="1707"/>
      <c r="X1032" s="1707"/>
      <c r="Y1032" s="1707"/>
      <c r="Z1032" s="1707"/>
      <c r="AA1032" s="1707"/>
      <c r="AB1032" s="1707"/>
      <c r="AC1032" s="1707"/>
      <c r="AD1032" s="1707"/>
      <c r="AE1032" s="1708"/>
      <c r="AF1032" s="1736"/>
      <c r="AG1032" s="1736"/>
      <c r="AH1032" s="1736"/>
      <c r="AI1032" s="1736"/>
      <c r="AJ1032" s="1703"/>
      <c r="AK1032" s="1704"/>
      <c r="AL1032" s="1704"/>
      <c r="AM1032" s="1704"/>
      <c r="AN1032" s="1704"/>
      <c r="AO1032" s="1704"/>
      <c r="AP1032" s="1704"/>
      <c r="AQ1032" s="1705"/>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781" t="s">
        <v>591</v>
      </c>
      <c r="K1033" s="1782"/>
      <c r="L1033" s="1782"/>
      <c r="M1033" s="1782"/>
      <c r="N1033" s="1782"/>
      <c r="O1033" s="1782"/>
      <c r="P1033" s="1782"/>
      <c r="Q1033" s="1782"/>
      <c r="R1033" s="1782"/>
      <c r="S1033" s="1782"/>
      <c r="T1033" s="1782"/>
      <c r="U1033" s="1782"/>
      <c r="V1033" s="1782"/>
      <c r="W1033" s="1782"/>
      <c r="X1033" s="1782"/>
      <c r="Y1033" s="1782"/>
      <c r="Z1033" s="1782"/>
      <c r="AA1033" s="1782"/>
      <c r="AB1033" s="1782"/>
      <c r="AC1033" s="1782"/>
      <c r="AD1033" s="1782"/>
      <c r="AE1033" s="1783"/>
      <c r="AF1033" s="1736"/>
      <c r="AG1033" s="1736"/>
      <c r="AH1033" s="1736"/>
      <c r="AI1033" s="1736"/>
      <c r="AJ1033" s="1712"/>
      <c r="AK1033" s="1713"/>
      <c r="AL1033" s="1713"/>
      <c r="AM1033" s="1713"/>
      <c r="AN1033" s="1713"/>
      <c r="AO1033" s="1713"/>
      <c r="AP1033" s="1713"/>
      <c r="AQ1033" s="1714"/>
      <c r="AR1033" s="68"/>
      <c r="AS1033" s="68"/>
      <c r="AT1033" s="68"/>
      <c r="AU1033" s="68"/>
      <c r="AV1033" s="68"/>
      <c r="AW1033" s="68"/>
      <c r="AX1033" s="1027" t="s">
        <v>2530</v>
      </c>
      <c r="AY1033" s="201">
        <f>IF(SUM(AY1022:AY1032)&lt;=0.2,SUM(AY1022:AY1032),0.2)</f>
        <v>0</v>
      </c>
    </row>
    <row r="1034" spans="1:52" ht="12.95" customHeight="1">
      <c r="A1034" s="14"/>
      <c r="B1034" s="79"/>
      <c r="C1034" s="80" t="s">
        <v>229</v>
      </c>
      <c r="D1034" s="1665" t="s">
        <v>1293</v>
      </c>
      <c r="E1034" s="1666"/>
      <c r="F1034" s="1666"/>
      <c r="G1034" s="1666"/>
      <c r="H1034" s="1666"/>
      <c r="I1034" s="1666"/>
      <c r="J1034" s="1666"/>
      <c r="K1034" s="1666"/>
      <c r="L1034" s="1666"/>
      <c r="M1034" s="1666"/>
      <c r="N1034" s="1666"/>
      <c r="O1034" s="1666"/>
      <c r="P1034" s="1666"/>
      <c r="Q1034" s="1666"/>
      <c r="R1034" s="1666"/>
      <c r="S1034" s="1666"/>
      <c r="T1034" s="1666"/>
      <c r="U1034" s="1666"/>
      <c r="V1034" s="1666"/>
      <c r="W1034" s="1666"/>
      <c r="X1034" s="1666"/>
      <c r="Y1034" s="1666"/>
      <c r="Z1034" s="1666"/>
      <c r="AA1034" s="1666"/>
      <c r="AB1034" s="1666"/>
      <c r="AC1034" s="1666"/>
      <c r="AD1034" s="1666"/>
      <c r="AE1034" s="1667"/>
      <c r="AF1034" s="79"/>
      <c r="AG1034" s="1649" t="s">
        <v>669</v>
      </c>
      <c r="AH1034" s="1650"/>
      <c r="AI1034" s="87"/>
      <c r="AJ1034" s="1700">
        <f>ROUND(IF(AG1034="Yes",AF1036,0),0)</f>
        <v>0</v>
      </c>
      <c r="AK1034" s="1701"/>
      <c r="AL1034" s="1701"/>
      <c r="AM1034" s="1701"/>
      <c r="AN1034" s="1701"/>
      <c r="AO1034" s="1701"/>
      <c r="AP1034" s="1701"/>
      <c r="AQ1034" s="1702"/>
      <c r="AR1034" s="68"/>
      <c r="AS1034" s="68"/>
      <c r="AT1034" s="68"/>
      <c r="AU1034" s="68"/>
      <c r="AV1034" s="68"/>
      <c r="AW1034" s="68"/>
      <c r="AX1034" s="68"/>
      <c r="AY1034" s="68"/>
    </row>
    <row r="1035" spans="1:52" ht="12.95" customHeight="1">
      <c r="A1035" s="14"/>
      <c r="B1035" s="73"/>
      <c r="C1035" s="74"/>
      <c r="D1035" s="1706" t="s">
        <v>1679</v>
      </c>
      <c r="E1035" s="1707"/>
      <c r="F1035" s="1707"/>
      <c r="G1035" s="1707"/>
      <c r="H1035" s="1707"/>
      <c r="I1035" s="1707"/>
      <c r="J1035" s="1707"/>
      <c r="K1035" s="1707"/>
      <c r="L1035" s="1707"/>
      <c r="M1035" s="1707"/>
      <c r="N1035" s="1707"/>
      <c r="O1035" s="1707"/>
      <c r="P1035" s="1707"/>
      <c r="Q1035" s="1707"/>
      <c r="R1035" s="1707"/>
      <c r="S1035" s="1707"/>
      <c r="T1035" s="1707"/>
      <c r="U1035" s="1707"/>
      <c r="V1035" s="1707"/>
      <c r="W1035" s="1707"/>
      <c r="X1035" s="1707"/>
      <c r="Y1035" s="1707"/>
      <c r="Z1035" s="1707"/>
      <c r="AA1035" s="1707"/>
      <c r="AB1035" s="1707"/>
      <c r="AC1035" s="1707"/>
      <c r="AD1035" s="1707"/>
      <c r="AE1035" s="1708"/>
      <c r="AF1035" s="1684" t="str">
        <f>IF(AG1034="yes","Enter Amount:","")</f>
        <v/>
      </c>
      <c r="AG1035" s="1685"/>
      <c r="AH1035" s="1685"/>
      <c r="AI1035" s="1686"/>
      <c r="AJ1035" s="1703"/>
      <c r="AK1035" s="1704"/>
      <c r="AL1035" s="1704"/>
      <c r="AM1035" s="1704"/>
      <c r="AN1035" s="1704"/>
      <c r="AO1035" s="1704"/>
      <c r="AP1035" s="1704"/>
      <c r="AQ1035" s="1705"/>
      <c r="AR1035" s="68"/>
      <c r="AS1035" s="68"/>
      <c r="AT1035" s="68"/>
      <c r="AU1035" s="68"/>
      <c r="AV1035" s="68"/>
      <c r="AW1035" s="68"/>
      <c r="AX1035" s="68"/>
      <c r="AY1035" s="68"/>
    </row>
    <row r="1036" spans="1:52" ht="12.95" customHeight="1">
      <c r="A1036" s="14"/>
      <c r="B1036" s="73"/>
      <c r="C1036" s="74"/>
      <c r="D1036" s="1706"/>
      <c r="E1036" s="1707"/>
      <c r="F1036" s="1707"/>
      <c r="G1036" s="1707"/>
      <c r="H1036" s="1707"/>
      <c r="I1036" s="1707"/>
      <c r="J1036" s="1707"/>
      <c r="K1036" s="1707"/>
      <c r="L1036" s="1707"/>
      <c r="M1036" s="1707"/>
      <c r="N1036" s="1707"/>
      <c r="O1036" s="1707"/>
      <c r="P1036" s="1707"/>
      <c r="Q1036" s="1707"/>
      <c r="R1036" s="1707"/>
      <c r="S1036" s="1707"/>
      <c r="T1036" s="1707"/>
      <c r="U1036" s="1707"/>
      <c r="V1036" s="1707"/>
      <c r="W1036" s="1707"/>
      <c r="X1036" s="1707"/>
      <c r="Y1036" s="1707"/>
      <c r="Z1036" s="1707"/>
      <c r="AA1036" s="1707"/>
      <c r="AB1036" s="1707"/>
      <c r="AC1036" s="1707"/>
      <c r="AD1036" s="1707"/>
      <c r="AE1036" s="1708"/>
      <c r="AF1036" s="1736"/>
      <c r="AG1036" s="1736"/>
      <c r="AH1036" s="1736"/>
      <c r="AI1036" s="1736"/>
      <c r="AJ1036" s="1703"/>
      <c r="AK1036" s="1704"/>
      <c r="AL1036" s="1704"/>
      <c r="AM1036" s="1704"/>
      <c r="AN1036" s="1704"/>
      <c r="AO1036" s="1704"/>
      <c r="AP1036" s="1704"/>
      <c r="AQ1036" s="1705"/>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09"/>
      <c r="E1037" s="1710"/>
      <c r="F1037" s="1710"/>
      <c r="G1037" s="1710"/>
      <c r="H1037" s="1710"/>
      <c r="I1037" s="1710"/>
      <c r="J1037" s="1710"/>
      <c r="K1037" s="1710"/>
      <c r="L1037" s="1710"/>
      <c r="M1037" s="1710"/>
      <c r="N1037" s="1710"/>
      <c r="O1037" s="1710"/>
      <c r="P1037" s="1710"/>
      <c r="Q1037" s="1710"/>
      <c r="R1037" s="1710"/>
      <c r="S1037" s="1710"/>
      <c r="T1037" s="1710"/>
      <c r="U1037" s="1710"/>
      <c r="V1037" s="1710"/>
      <c r="W1037" s="1710"/>
      <c r="X1037" s="1710"/>
      <c r="Y1037" s="1710"/>
      <c r="Z1037" s="1710"/>
      <c r="AA1037" s="1710"/>
      <c r="AB1037" s="1710"/>
      <c r="AC1037" s="1710"/>
      <c r="AD1037" s="1710"/>
      <c r="AE1037" s="1711"/>
      <c r="AF1037" s="1736"/>
      <c r="AG1037" s="1736"/>
      <c r="AH1037" s="1736"/>
      <c r="AI1037" s="1736"/>
      <c r="AJ1037" s="1712"/>
      <c r="AK1037" s="1713"/>
      <c r="AL1037" s="1713"/>
      <c r="AM1037" s="1713"/>
      <c r="AN1037" s="1713"/>
      <c r="AO1037" s="1713"/>
      <c r="AP1037" s="1713"/>
      <c r="AQ1037" s="1714"/>
      <c r="AR1037" s="68"/>
      <c r="AS1037" s="68"/>
      <c r="AT1037" s="68"/>
      <c r="AU1037" s="68"/>
      <c r="AV1037" s="68"/>
      <c r="AW1037" s="68"/>
      <c r="AX1037" s="68"/>
      <c r="AY1037" s="68"/>
    </row>
    <row r="1038" spans="1:52" ht="12.95" customHeight="1">
      <c r="A1038" s="14"/>
      <c r="B1038" s="79"/>
      <c r="C1038" s="80" t="s">
        <v>234</v>
      </c>
      <c r="D1038" s="1687" t="s">
        <v>1294</v>
      </c>
      <c r="E1038" s="1688"/>
      <c r="F1038" s="1688"/>
      <c r="G1038" s="1688"/>
      <c r="H1038" s="1688"/>
      <c r="I1038" s="1688"/>
      <c r="J1038" s="1688"/>
      <c r="K1038" s="1688"/>
      <c r="L1038" s="1688"/>
      <c r="M1038" s="1688"/>
      <c r="N1038" s="1688"/>
      <c r="O1038" s="1688"/>
      <c r="P1038" s="1688"/>
      <c r="Q1038" s="1688"/>
      <c r="R1038" s="1688"/>
      <c r="S1038" s="1688"/>
      <c r="T1038" s="1688"/>
      <c r="U1038" s="1688"/>
      <c r="V1038" s="1688"/>
      <c r="W1038" s="1688"/>
      <c r="X1038" s="1688"/>
      <c r="Y1038" s="1688"/>
      <c r="Z1038" s="1688"/>
      <c r="AA1038" s="1688"/>
      <c r="AB1038" s="1688"/>
      <c r="AC1038" s="1688"/>
      <c r="AD1038" s="1688"/>
      <c r="AE1038" s="1689"/>
      <c r="AF1038" s="79"/>
      <c r="AG1038" s="1649" t="s">
        <v>545</v>
      </c>
      <c r="AH1038" s="1650"/>
      <c r="AI1038" s="87"/>
      <c r="AJ1038" s="1700">
        <f>ROUND(IF(AG1038="yes",(AJ1001*0.1),0),0)</f>
        <v>9884587</v>
      </c>
      <c r="AK1038" s="1701"/>
      <c r="AL1038" s="1701"/>
      <c r="AM1038" s="1701"/>
      <c r="AN1038" s="1701"/>
      <c r="AO1038" s="1701"/>
      <c r="AP1038" s="1701"/>
      <c r="AQ1038" s="1702"/>
      <c r="AR1038" s="68"/>
      <c r="AS1038" s="68"/>
      <c r="AT1038" s="68"/>
      <c r="AU1038" s="68"/>
      <c r="AV1038" s="68"/>
      <c r="AW1038" s="68"/>
      <c r="AX1038" s="68"/>
      <c r="AY1038" s="68"/>
    </row>
    <row r="1039" spans="1:52" ht="12.95" customHeight="1">
      <c r="A1039" s="14"/>
      <c r="B1039" s="73"/>
      <c r="C1039" s="74"/>
      <c r="D1039" s="1706" t="s">
        <v>1295</v>
      </c>
      <c r="E1039" s="1707"/>
      <c r="F1039" s="1707"/>
      <c r="G1039" s="1707"/>
      <c r="H1039" s="1707"/>
      <c r="I1039" s="1707"/>
      <c r="J1039" s="1707"/>
      <c r="K1039" s="1707"/>
      <c r="L1039" s="1707"/>
      <c r="M1039" s="1707"/>
      <c r="N1039" s="1707"/>
      <c r="O1039" s="1707"/>
      <c r="P1039" s="1707"/>
      <c r="Q1039" s="1707"/>
      <c r="R1039" s="1707"/>
      <c r="S1039" s="1707"/>
      <c r="T1039" s="1707"/>
      <c r="U1039" s="1707"/>
      <c r="V1039" s="1707"/>
      <c r="W1039" s="1707"/>
      <c r="X1039" s="1707"/>
      <c r="Y1039" s="1707"/>
      <c r="Z1039" s="1707"/>
      <c r="AA1039" s="1707"/>
      <c r="AB1039" s="1707"/>
      <c r="AC1039" s="1707"/>
      <c r="AD1039" s="1707"/>
      <c r="AE1039" s="1708"/>
      <c r="AF1039" s="73"/>
      <c r="AG1039" s="14"/>
      <c r="AH1039" s="14"/>
      <c r="AI1039" s="83"/>
      <c r="AJ1039" s="1703"/>
      <c r="AK1039" s="1704"/>
      <c r="AL1039" s="1704"/>
      <c r="AM1039" s="1704"/>
      <c r="AN1039" s="1704"/>
      <c r="AO1039" s="1704"/>
      <c r="AP1039" s="1704"/>
      <c r="AQ1039" s="1705"/>
      <c r="AR1039" s="68"/>
      <c r="AS1039" s="68"/>
      <c r="AT1039" s="68"/>
      <c r="AU1039" s="68"/>
      <c r="AV1039" s="68"/>
      <c r="AW1039" s="68"/>
      <c r="AX1039" s="68"/>
      <c r="AY1039" s="68"/>
    </row>
    <row r="1040" spans="1:52" ht="12.95" customHeight="1">
      <c r="A1040" s="14"/>
      <c r="B1040" s="77"/>
      <c r="C1040" s="74"/>
      <c r="D1040" s="1709"/>
      <c r="E1040" s="1710"/>
      <c r="F1040" s="1710"/>
      <c r="G1040" s="1710"/>
      <c r="H1040" s="1710"/>
      <c r="I1040" s="1710"/>
      <c r="J1040" s="1710"/>
      <c r="K1040" s="1710"/>
      <c r="L1040" s="1710"/>
      <c r="M1040" s="1710"/>
      <c r="N1040" s="1710"/>
      <c r="O1040" s="1710"/>
      <c r="P1040" s="1710"/>
      <c r="Q1040" s="1710"/>
      <c r="R1040" s="1710"/>
      <c r="S1040" s="1710"/>
      <c r="T1040" s="1710"/>
      <c r="U1040" s="1710"/>
      <c r="V1040" s="1710"/>
      <c r="W1040" s="1710"/>
      <c r="X1040" s="1710"/>
      <c r="Y1040" s="1710"/>
      <c r="Z1040" s="1710"/>
      <c r="AA1040" s="1710"/>
      <c r="AB1040" s="1710"/>
      <c r="AC1040" s="1710"/>
      <c r="AD1040" s="1710"/>
      <c r="AE1040" s="1711"/>
      <c r="AF1040" s="73"/>
      <c r="AG1040" s="14"/>
      <c r="AH1040" s="14"/>
      <c r="AI1040" s="83"/>
      <c r="AJ1040" s="1712"/>
      <c r="AK1040" s="1713"/>
      <c r="AL1040" s="1713"/>
      <c r="AM1040" s="1713"/>
      <c r="AN1040" s="1713"/>
      <c r="AO1040" s="1713"/>
      <c r="AP1040" s="1713"/>
      <c r="AQ1040" s="1714"/>
      <c r="AR1040" s="68"/>
      <c r="AS1040" s="68"/>
      <c r="AT1040" s="68"/>
      <c r="AU1040" s="68"/>
      <c r="AV1040" s="68"/>
      <c r="AW1040" s="68"/>
      <c r="AX1040" s="68"/>
      <c r="AY1040" s="68"/>
    </row>
    <row r="1041" spans="1:57" ht="12.95" customHeight="1">
      <c r="A1041" s="14"/>
      <c r="B1041" s="73"/>
      <c r="C1041" s="339" t="s">
        <v>687</v>
      </c>
      <c r="D1041" s="1665" t="s">
        <v>1675</v>
      </c>
      <c r="E1041" s="1666"/>
      <c r="F1041" s="1666"/>
      <c r="G1041" s="1666"/>
      <c r="H1041" s="1666"/>
      <c r="I1041" s="1666"/>
      <c r="J1041" s="1666"/>
      <c r="K1041" s="1666"/>
      <c r="L1041" s="1666"/>
      <c r="M1041" s="1666"/>
      <c r="N1041" s="1666"/>
      <c r="O1041" s="1666"/>
      <c r="P1041" s="1666"/>
      <c r="Q1041" s="1666"/>
      <c r="R1041" s="1666"/>
      <c r="S1041" s="1666"/>
      <c r="T1041" s="1666"/>
      <c r="U1041" s="1666"/>
      <c r="V1041" s="1666"/>
      <c r="W1041" s="1666"/>
      <c r="X1041" s="1666"/>
      <c r="Y1041" s="1666"/>
      <c r="Z1041" s="1666"/>
      <c r="AA1041" s="1666"/>
      <c r="AB1041" s="1666"/>
      <c r="AC1041" s="1666"/>
      <c r="AD1041" s="1666"/>
      <c r="AE1041" s="1667"/>
      <c r="AF1041" s="79"/>
      <c r="AG1041" s="1649" t="s">
        <v>669</v>
      </c>
      <c r="AH1041" s="1650"/>
      <c r="AI1041" s="87"/>
      <c r="AJ1041" s="1700">
        <f>ROUND(IF(AG1041="yes",(AJ1001*0.15),0),0)</f>
        <v>0</v>
      </c>
      <c r="AK1041" s="1701"/>
      <c r="AL1041" s="1701"/>
      <c r="AM1041" s="1701"/>
      <c r="AN1041" s="1701"/>
      <c r="AO1041" s="1701"/>
      <c r="AP1041" s="1701"/>
      <c r="AQ1041" s="1702"/>
      <c r="AR1041" s="68"/>
      <c r="AS1041" s="68"/>
      <c r="AT1041" s="68"/>
      <c r="AU1041" s="68"/>
      <c r="AV1041" s="68"/>
      <c r="AW1041" s="68"/>
      <c r="AX1041" s="68"/>
      <c r="AY1041" s="68"/>
    </row>
    <row r="1042" spans="1:57" ht="12.95" customHeight="1">
      <c r="A1042" s="14"/>
      <c r="B1042" s="73"/>
      <c r="C1042" s="74"/>
      <c r="D1042" s="1651" t="s">
        <v>1676</v>
      </c>
      <c r="E1042" s="1515"/>
      <c r="F1042" s="1515"/>
      <c r="G1042" s="1515"/>
      <c r="H1042" s="1515"/>
      <c r="I1042" s="1515"/>
      <c r="J1042" s="1515"/>
      <c r="K1042" s="1515"/>
      <c r="L1042" s="1515"/>
      <c r="M1042" s="1515"/>
      <c r="N1042" s="1515"/>
      <c r="O1042" s="1515"/>
      <c r="P1042" s="1515"/>
      <c r="Q1042" s="1515"/>
      <c r="R1042" s="1515"/>
      <c r="S1042" s="1515"/>
      <c r="T1042" s="1515"/>
      <c r="U1042" s="1515"/>
      <c r="V1042" s="1515"/>
      <c r="W1042" s="1515"/>
      <c r="X1042" s="1515"/>
      <c r="Y1042" s="1515"/>
      <c r="Z1042" s="1515"/>
      <c r="AA1042" s="1515"/>
      <c r="AB1042" s="1515"/>
      <c r="AC1042" s="1515"/>
      <c r="AD1042" s="1515"/>
      <c r="AE1042" s="1652"/>
      <c r="AF1042" s="911"/>
      <c r="AG1042" s="912"/>
      <c r="AH1042" s="912"/>
      <c r="AI1042" s="913"/>
      <c r="AJ1042" s="1703"/>
      <c r="AK1042" s="1704"/>
      <c r="AL1042" s="1704"/>
      <c r="AM1042" s="1704"/>
      <c r="AN1042" s="1704"/>
      <c r="AO1042" s="1704"/>
      <c r="AP1042" s="1704"/>
      <c r="AQ1042" s="1705"/>
      <c r="AR1042" s="68"/>
      <c r="AS1042" s="68"/>
      <c r="AT1042" s="68"/>
      <c r="AU1042" s="68"/>
      <c r="AV1042" s="68"/>
      <c r="AW1042" s="68"/>
      <c r="AX1042" s="68"/>
      <c r="AY1042" s="68"/>
    </row>
    <row r="1043" spans="1:57" ht="12.95" customHeight="1">
      <c r="A1043" s="14"/>
      <c r="B1043" s="73"/>
      <c r="C1043" s="74"/>
      <c r="D1043" s="1651"/>
      <c r="E1043" s="1515"/>
      <c r="F1043" s="1515"/>
      <c r="G1043" s="1515"/>
      <c r="H1043" s="1515"/>
      <c r="I1043" s="1515"/>
      <c r="J1043" s="1515"/>
      <c r="K1043" s="1515"/>
      <c r="L1043" s="1515"/>
      <c r="M1043" s="1515"/>
      <c r="N1043" s="1515"/>
      <c r="O1043" s="1515"/>
      <c r="P1043" s="1515"/>
      <c r="Q1043" s="1515"/>
      <c r="R1043" s="1515"/>
      <c r="S1043" s="1515"/>
      <c r="T1043" s="1515"/>
      <c r="U1043" s="1515"/>
      <c r="V1043" s="1515"/>
      <c r="W1043" s="1515"/>
      <c r="X1043" s="1515"/>
      <c r="Y1043" s="1515"/>
      <c r="Z1043" s="1515"/>
      <c r="AA1043" s="1515"/>
      <c r="AB1043" s="1515"/>
      <c r="AC1043" s="1515"/>
      <c r="AD1043" s="1515"/>
      <c r="AE1043" s="1652"/>
      <c r="AF1043" s="911"/>
      <c r="AG1043" s="912"/>
      <c r="AH1043" s="912"/>
      <c r="AI1043" s="913"/>
      <c r="AJ1043" s="1703"/>
      <c r="AK1043" s="1704"/>
      <c r="AL1043" s="1704"/>
      <c r="AM1043" s="1704"/>
      <c r="AN1043" s="1704"/>
      <c r="AO1043" s="1704"/>
      <c r="AP1043" s="1704"/>
      <c r="AQ1043" s="1705"/>
      <c r="AR1043" s="68"/>
      <c r="AS1043" s="68"/>
      <c r="AT1043" s="68"/>
      <c r="AU1043" s="68"/>
      <c r="AV1043" s="68"/>
      <c r="AW1043" s="68"/>
      <c r="AX1043" s="68"/>
      <c r="AY1043" s="68"/>
    </row>
    <row r="1044" spans="1:57" ht="12.95" customHeight="1">
      <c r="A1044" s="14"/>
      <c r="B1044" s="73"/>
      <c r="C1044" s="74"/>
      <c r="D1044" s="1653"/>
      <c r="E1044" s="1654"/>
      <c r="F1044" s="1654"/>
      <c r="G1044" s="1654"/>
      <c r="H1044" s="1654"/>
      <c r="I1044" s="1654"/>
      <c r="J1044" s="1654"/>
      <c r="K1044" s="1654"/>
      <c r="L1044" s="1654"/>
      <c r="M1044" s="1654"/>
      <c r="N1044" s="1654"/>
      <c r="O1044" s="1654"/>
      <c r="P1044" s="1654"/>
      <c r="Q1044" s="1654"/>
      <c r="R1044" s="1654"/>
      <c r="S1044" s="1654"/>
      <c r="T1044" s="1654"/>
      <c r="U1044" s="1654"/>
      <c r="V1044" s="1654"/>
      <c r="W1044" s="1654"/>
      <c r="X1044" s="1654"/>
      <c r="Y1044" s="1654"/>
      <c r="Z1044" s="1654"/>
      <c r="AA1044" s="1654"/>
      <c r="AB1044" s="1654"/>
      <c r="AC1044" s="1654"/>
      <c r="AD1044" s="1654"/>
      <c r="AE1044" s="1655"/>
      <c r="AF1044" s="914"/>
      <c r="AG1044" s="915"/>
      <c r="AH1044" s="915"/>
      <c r="AI1044" s="916"/>
      <c r="AJ1044" s="1712"/>
      <c r="AK1044" s="1713"/>
      <c r="AL1044" s="1713"/>
      <c r="AM1044" s="1713"/>
      <c r="AN1044" s="1713"/>
      <c r="AO1044" s="1713"/>
      <c r="AP1044" s="1713"/>
      <c r="AQ1044" s="1714"/>
      <c r="AR1044" s="68"/>
      <c r="AS1044" s="68"/>
      <c r="AT1044" s="68"/>
      <c r="AU1044" s="68"/>
      <c r="AV1044" s="68"/>
      <c r="AW1044" s="68"/>
      <c r="AX1044" s="68"/>
      <c r="AY1044" s="68"/>
    </row>
    <row r="1045" spans="1:57" ht="12.95" customHeight="1">
      <c r="A1045" s="14"/>
      <c r="B1045" s="73"/>
      <c r="C1045" s="339" t="s">
        <v>687</v>
      </c>
      <c r="D1045" s="1687" t="s">
        <v>1677</v>
      </c>
      <c r="E1045" s="1688"/>
      <c r="F1045" s="1688"/>
      <c r="G1045" s="1688"/>
      <c r="H1045" s="1688"/>
      <c r="I1045" s="1688"/>
      <c r="J1045" s="1688"/>
      <c r="K1045" s="1688"/>
      <c r="L1045" s="1688"/>
      <c r="M1045" s="1688"/>
      <c r="N1045" s="1688"/>
      <c r="O1045" s="1688"/>
      <c r="P1045" s="1688"/>
      <c r="Q1045" s="1688"/>
      <c r="R1045" s="1688"/>
      <c r="S1045" s="1688"/>
      <c r="T1045" s="1688"/>
      <c r="U1045" s="1688"/>
      <c r="V1045" s="1688"/>
      <c r="W1045" s="1688"/>
      <c r="X1045" s="1688"/>
      <c r="Y1045" s="1688"/>
      <c r="Z1045" s="1688"/>
      <c r="AA1045" s="1688"/>
      <c r="AB1045" s="1688"/>
      <c r="AC1045" s="1688"/>
      <c r="AD1045" s="1688"/>
      <c r="AE1045" s="1689"/>
      <c r="AF1045" s="73"/>
      <c r="AG1045" s="1723" t="s">
        <v>669</v>
      </c>
      <c r="AH1045" s="1724"/>
      <c r="AI1045" s="83"/>
      <c r="AJ1045" s="1700">
        <f>ROUND(IF(AND(AG1045="yes",AJ1041=0),(AJ1001*0.1),0),0)</f>
        <v>0</v>
      </c>
      <c r="AK1045" s="1701"/>
      <c r="AL1045" s="1701"/>
      <c r="AM1045" s="1701"/>
      <c r="AN1045" s="1701"/>
      <c r="AO1045" s="1701"/>
      <c r="AP1045" s="1701"/>
      <c r="AQ1045" s="1702"/>
      <c r="AR1045" s="68"/>
      <c r="AS1045" s="68"/>
      <c r="AT1045" s="68"/>
      <c r="AU1045" s="68"/>
      <c r="AV1045" s="68"/>
      <c r="AW1045" s="68"/>
      <c r="AX1045" s="68"/>
      <c r="AY1045" s="68"/>
    </row>
    <row r="1046" spans="1:57" ht="12.95" customHeight="1">
      <c r="A1046" s="14"/>
      <c r="B1046" s="73"/>
      <c r="C1046" s="74"/>
      <c r="D1046" s="1651" t="s">
        <v>1678</v>
      </c>
      <c r="E1046" s="1515"/>
      <c r="F1046" s="1515"/>
      <c r="G1046" s="1515"/>
      <c r="H1046" s="1515"/>
      <c r="I1046" s="1515"/>
      <c r="J1046" s="1515"/>
      <c r="K1046" s="1515"/>
      <c r="L1046" s="1515"/>
      <c r="M1046" s="1515"/>
      <c r="N1046" s="1515"/>
      <c r="O1046" s="1515"/>
      <c r="P1046" s="1515"/>
      <c r="Q1046" s="1515"/>
      <c r="R1046" s="1515"/>
      <c r="S1046" s="1515"/>
      <c r="T1046" s="1515"/>
      <c r="U1046" s="1515"/>
      <c r="V1046" s="1515"/>
      <c r="W1046" s="1515"/>
      <c r="X1046" s="1515"/>
      <c r="Y1046" s="1515"/>
      <c r="Z1046" s="1515"/>
      <c r="AA1046" s="1515"/>
      <c r="AB1046" s="1515"/>
      <c r="AC1046" s="1515"/>
      <c r="AD1046" s="1515"/>
      <c r="AE1046" s="1652"/>
      <c r="AF1046" s="73"/>
      <c r="AG1046" s="14"/>
      <c r="AH1046" s="14"/>
      <c r="AI1046" s="83"/>
      <c r="AJ1046" s="1703"/>
      <c r="AK1046" s="1704"/>
      <c r="AL1046" s="1704"/>
      <c r="AM1046" s="1704"/>
      <c r="AN1046" s="1704"/>
      <c r="AO1046" s="1704"/>
      <c r="AP1046" s="1704"/>
      <c r="AQ1046" s="1705"/>
      <c r="AR1046" s="68"/>
      <c r="AS1046" s="68"/>
      <c r="AT1046" s="68"/>
      <c r="AU1046" s="68"/>
      <c r="AV1046" s="68"/>
      <c r="AW1046" s="68"/>
      <c r="AX1046" s="68"/>
      <c r="AY1046" s="68"/>
    </row>
    <row r="1047" spans="1:57" ht="12.95" customHeight="1">
      <c r="A1047" s="14"/>
      <c r="B1047" s="73"/>
      <c r="C1047" s="74"/>
      <c r="D1047" s="1651"/>
      <c r="E1047" s="1515"/>
      <c r="F1047" s="1515"/>
      <c r="G1047" s="1515"/>
      <c r="H1047" s="1515"/>
      <c r="I1047" s="1515"/>
      <c r="J1047" s="1515"/>
      <c r="K1047" s="1515"/>
      <c r="L1047" s="1515"/>
      <c r="M1047" s="1515"/>
      <c r="N1047" s="1515"/>
      <c r="O1047" s="1515"/>
      <c r="P1047" s="1515"/>
      <c r="Q1047" s="1515"/>
      <c r="R1047" s="1515"/>
      <c r="S1047" s="1515"/>
      <c r="T1047" s="1515"/>
      <c r="U1047" s="1515"/>
      <c r="V1047" s="1515"/>
      <c r="W1047" s="1515"/>
      <c r="X1047" s="1515"/>
      <c r="Y1047" s="1515"/>
      <c r="Z1047" s="1515"/>
      <c r="AA1047" s="1515"/>
      <c r="AB1047" s="1515"/>
      <c r="AC1047" s="1515"/>
      <c r="AD1047" s="1515"/>
      <c r="AE1047" s="1652"/>
      <c r="AF1047" s="73"/>
      <c r="AG1047" s="14"/>
      <c r="AH1047" s="14"/>
      <c r="AI1047" s="83"/>
      <c r="AJ1047" s="1703"/>
      <c r="AK1047" s="1704"/>
      <c r="AL1047" s="1704"/>
      <c r="AM1047" s="1704"/>
      <c r="AN1047" s="1704"/>
      <c r="AO1047" s="1704"/>
      <c r="AP1047" s="1704"/>
      <c r="AQ1047" s="1705"/>
      <c r="AR1047" s="68"/>
      <c r="AS1047" s="68"/>
      <c r="AT1047" s="68"/>
      <c r="AU1047" s="68"/>
      <c r="AV1047" s="68"/>
      <c r="AW1047" s="68"/>
      <c r="AX1047" s="68"/>
      <c r="AY1047" s="68"/>
      <c r="BA1047" s="1176">
        <f>IFERROR(('Sources and Uses Budget'!$C$17+'Sources and Uses Budget'!$C$18+'Sources and Uses Budget'!$C$22)/$AG$446,0)</f>
        <v>60000</v>
      </c>
      <c r="BB1047" s="1176" t="s">
        <v>2418</v>
      </c>
      <c r="BC1047" s="1176"/>
      <c r="BD1047" s="1176"/>
      <c r="BE1047" s="1176"/>
    </row>
    <row r="1048" spans="1:57" ht="12.95" customHeight="1">
      <c r="A1048" s="14"/>
      <c r="B1048" s="73"/>
      <c r="C1048" s="74"/>
      <c r="D1048" s="1651"/>
      <c r="E1048" s="1515"/>
      <c r="F1048" s="1515"/>
      <c r="G1048" s="1515"/>
      <c r="H1048" s="1515"/>
      <c r="I1048" s="1515"/>
      <c r="J1048" s="1515"/>
      <c r="K1048" s="1515"/>
      <c r="L1048" s="1515"/>
      <c r="M1048" s="1515"/>
      <c r="N1048" s="1515"/>
      <c r="O1048" s="1515"/>
      <c r="P1048" s="1515"/>
      <c r="Q1048" s="1515"/>
      <c r="R1048" s="1515"/>
      <c r="S1048" s="1515"/>
      <c r="T1048" s="1515"/>
      <c r="U1048" s="1515"/>
      <c r="V1048" s="1515"/>
      <c r="W1048" s="1515"/>
      <c r="X1048" s="1515"/>
      <c r="Y1048" s="1515"/>
      <c r="Z1048" s="1515"/>
      <c r="AA1048" s="1515"/>
      <c r="AB1048" s="1515"/>
      <c r="AC1048" s="1515"/>
      <c r="AD1048" s="1515"/>
      <c r="AE1048" s="1652"/>
      <c r="AF1048" s="73"/>
      <c r="AG1048" s="14"/>
      <c r="AH1048" s="14"/>
      <c r="AI1048" s="83"/>
      <c r="AJ1048" s="1703"/>
      <c r="AK1048" s="1704"/>
      <c r="AL1048" s="1704"/>
      <c r="AM1048" s="1704"/>
      <c r="AN1048" s="1704"/>
      <c r="AO1048" s="1704"/>
      <c r="AP1048" s="1704"/>
      <c r="AQ1048" s="1705"/>
      <c r="AR1048" s="68"/>
      <c r="AS1048" s="68"/>
      <c r="AT1048" s="68"/>
      <c r="AU1048" s="68"/>
      <c r="AV1048" s="68"/>
      <c r="AW1048" s="68"/>
      <c r="AX1048" s="68"/>
      <c r="AY1048" s="68"/>
      <c r="BA1048">
        <f>IFERROR((($CI$761+$CM$761)/$AG$449),0)</f>
        <v>0.20454545454545456</v>
      </c>
      <c r="BB1048" s="3" t="s">
        <v>2422</v>
      </c>
    </row>
    <row r="1049" spans="1:57" ht="12.95" customHeight="1">
      <c r="A1049" s="14"/>
      <c r="B1049" s="73"/>
      <c r="C1049" s="74"/>
      <c r="D1049" s="1653"/>
      <c r="E1049" s="1654"/>
      <c r="F1049" s="1654"/>
      <c r="G1049" s="1654"/>
      <c r="H1049" s="1654"/>
      <c r="I1049" s="1654"/>
      <c r="J1049" s="1654"/>
      <c r="K1049" s="1654"/>
      <c r="L1049" s="1654"/>
      <c r="M1049" s="1654"/>
      <c r="N1049" s="1654"/>
      <c r="O1049" s="1654"/>
      <c r="P1049" s="1654"/>
      <c r="Q1049" s="1654"/>
      <c r="R1049" s="1654"/>
      <c r="S1049" s="1654"/>
      <c r="T1049" s="1654"/>
      <c r="U1049" s="1654"/>
      <c r="V1049" s="1654"/>
      <c r="W1049" s="1654"/>
      <c r="X1049" s="1654"/>
      <c r="Y1049" s="1654"/>
      <c r="Z1049" s="1654"/>
      <c r="AA1049" s="1654"/>
      <c r="AB1049" s="1654"/>
      <c r="AC1049" s="1654"/>
      <c r="AD1049" s="1654"/>
      <c r="AE1049" s="1655"/>
      <c r="AF1049" s="73"/>
      <c r="AG1049" s="14"/>
      <c r="AH1049" s="14"/>
      <c r="AI1049" s="83"/>
      <c r="AJ1049" s="1703"/>
      <c r="AK1049" s="1704"/>
      <c r="AL1049" s="1704"/>
      <c r="AM1049" s="1704"/>
      <c r="AN1049" s="1704"/>
      <c r="AO1049" s="1704"/>
      <c r="AP1049" s="1704"/>
      <c r="AQ1049" s="1705"/>
      <c r="AR1049" s="68"/>
      <c r="AS1049" s="68"/>
      <c r="AT1049" s="68"/>
      <c r="AU1049" s="68"/>
      <c r="AV1049" s="68"/>
      <c r="AW1049" s="68"/>
      <c r="AX1049" s="68"/>
      <c r="AY1049" s="68"/>
      <c r="BA1049" t="b">
        <f>'Points System'!AJ163="Yes"</f>
        <v>0</v>
      </c>
      <c r="BB1049" s="3" t="s">
        <v>2419</v>
      </c>
    </row>
    <row r="1050" spans="1:57" ht="12.95" customHeight="1">
      <c r="A1050" s="14"/>
      <c r="B1050" s="79"/>
      <c r="C1050" s="131" t="s">
        <v>1010</v>
      </c>
      <c r="D1050" s="1665" t="s">
        <v>1296</v>
      </c>
      <c r="E1050" s="1666"/>
      <c r="F1050" s="1666"/>
      <c r="G1050" s="1666"/>
      <c r="H1050" s="1666"/>
      <c r="I1050" s="1666"/>
      <c r="J1050" s="1666"/>
      <c r="K1050" s="1666"/>
      <c r="L1050" s="1666"/>
      <c r="M1050" s="1666"/>
      <c r="N1050" s="1666"/>
      <c r="O1050" s="1666"/>
      <c r="P1050" s="1666"/>
      <c r="Q1050" s="1666"/>
      <c r="R1050" s="1666"/>
      <c r="S1050" s="1666"/>
      <c r="T1050" s="1666"/>
      <c r="U1050" s="1666"/>
      <c r="V1050" s="1666"/>
      <c r="W1050" s="1666"/>
      <c r="X1050" s="1666"/>
      <c r="Y1050" s="1666"/>
      <c r="Z1050" s="1666"/>
      <c r="AA1050" s="1666"/>
      <c r="AB1050" s="1666"/>
      <c r="AC1050" s="1666"/>
      <c r="AD1050" s="1666"/>
      <c r="AE1050" s="1667"/>
      <c r="AF1050" s="79"/>
      <c r="AG1050" s="1649" t="s">
        <v>669</v>
      </c>
      <c r="AH1050" s="1650"/>
      <c r="AI1050" s="87"/>
      <c r="AJ1050" s="1700">
        <f>ROUND(IF(AG1050="yes",(AJ1001*0.1),0),0)</f>
        <v>0</v>
      </c>
      <c r="AK1050" s="1701"/>
      <c r="AL1050" s="1701"/>
      <c r="AM1050" s="1701"/>
      <c r="AN1050" s="1701"/>
      <c r="AO1050" s="1701"/>
      <c r="AP1050" s="1701"/>
      <c r="AQ1050" s="1702"/>
      <c r="AR1050" s="68"/>
      <c r="AS1050" s="68"/>
      <c r="AT1050" s="68"/>
      <c r="AU1050" s="68"/>
      <c r="AV1050" s="68"/>
      <c r="AW1050" s="68"/>
      <c r="AX1050" s="68"/>
      <c r="AY1050" s="68"/>
      <c r="BA1050">
        <f>Q212</f>
        <v>0</v>
      </c>
      <c r="BB1050" s="3" t="s">
        <v>2420</v>
      </c>
    </row>
    <row r="1051" spans="1:57" ht="12.95" customHeight="1">
      <c r="A1051" s="14"/>
      <c r="B1051" s="73"/>
      <c r="C1051" s="74"/>
      <c r="D1051" s="1706" t="s">
        <v>2098</v>
      </c>
      <c r="E1051" s="1707"/>
      <c r="F1051" s="1707"/>
      <c r="G1051" s="1707"/>
      <c r="H1051" s="1707"/>
      <c r="I1051" s="1707"/>
      <c r="J1051" s="1707"/>
      <c r="K1051" s="1707"/>
      <c r="L1051" s="1707"/>
      <c r="M1051" s="1707"/>
      <c r="N1051" s="1707"/>
      <c r="O1051" s="1707"/>
      <c r="P1051" s="1707"/>
      <c r="Q1051" s="1707"/>
      <c r="R1051" s="1707"/>
      <c r="S1051" s="1707"/>
      <c r="T1051" s="1707"/>
      <c r="U1051" s="1707"/>
      <c r="V1051" s="1707"/>
      <c r="W1051" s="1707"/>
      <c r="X1051" s="1707"/>
      <c r="Y1051" s="1707"/>
      <c r="Z1051" s="1707"/>
      <c r="AA1051" s="1707"/>
      <c r="AB1051" s="1707"/>
      <c r="AC1051" s="1707"/>
      <c r="AD1051" s="1707"/>
      <c r="AE1051" s="1708"/>
      <c r="AF1051" s="73"/>
      <c r="AG1051" s="14"/>
      <c r="AH1051" s="14"/>
      <c r="AI1051" s="83"/>
      <c r="AJ1051" s="1703"/>
      <c r="AK1051" s="1704"/>
      <c r="AL1051" s="1704"/>
      <c r="AM1051" s="1704"/>
      <c r="AN1051" s="1704"/>
      <c r="AO1051" s="1704"/>
      <c r="AP1051" s="1704"/>
      <c r="AQ1051" s="1705"/>
      <c r="AR1051" s="68"/>
      <c r="AS1051" s="68"/>
      <c r="AT1051" s="68"/>
      <c r="AU1051" s="68"/>
      <c r="AV1051" s="68"/>
      <c r="AW1051" s="68"/>
      <c r="AX1051" s="68"/>
      <c r="AY1051" s="68"/>
      <c r="BA1051" s="1177">
        <f>T212</f>
        <v>0</v>
      </c>
      <c r="BB1051" s="3" t="s">
        <v>2421</v>
      </c>
    </row>
    <row r="1052" spans="1:57" ht="12.95" customHeight="1">
      <c r="A1052" s="14"/>
      <c r="B1052" s="73"/>
      <c r="C1052" s="74"/>
      <c r="D1052" s="1706"/>
      <c r="E1052" s="1707"/>
      <c r="F1052" s="1707"/>
      <c r="G1052" s="1707"/>
      <c r="H1052" s="1707"/>
      <c r="I1052" s="1707"/>
      <c r="J1052" s="1707"/>
      <c r="K1052" s="1707"/>
      <c r="L1052" s="1707"/>
      <c r="M1052" s="1707"/>
      <c r="N1052" s="1707"/>
      <c r="O1052" s="1707"/>
      <c r="P1052" s="1707"/>
      <c r="Q1052" s="1707"/>
      <c r="R1052" s="1707"/>
      <c r="S1052" s="1707"/>
      <c r="T1052" s="1707"/>
      <c r="U1052" s="1707"/>
      <c r="V1052" s="1707"/>
      <c r="W1052" s="1707"/>
      <c r="X1052" s="1707"/>
      <c r="Y1052" s="1707"/>
      <c r="Z1052" s="1707"/>
      <c r="AA1052" s="1707"/>
      <c r="AB1052" s="1707"/>
      <c r="AC1052" s="1707"/>
      <c r="AD1052" s="1707"/>
      <c r="AE1052" s="1708"/>
      <c r="AF1052" s="73"/>
      <c r="AG1052" s="14"/>
      <c r="AH1052" s="14"/>
      <c r="AI1052" s="83"/>
      <c r="AJ1052" s="1703"/>
      <c r="AK1052" s="1704"/>
      <c r="AL1052" s="1704"/>
      <c r="AM1052" s="1704"/>
      <c r="AN1052" s="1704"/>
      <c r="AO1052" s="1704"/>
      <c r="AP1052" s="1704"/>
      <c r="AQ1052" s="1705"/>
      <c r="AR1052" s="68"/>
      <c r="AS1052" s="68"/>
      <c r="AT1052" s="68"/>
      <c r="AU1052" s="68"/>
      <c r="AV1052" s="68"/>
      <c r="AW1052" s="68"/>
      <c r="AX1052" s="68"/>
      <c r="AY1052" s="68"/>
    </row>
    <row r="1053" spans="1:57" ht="12.95" customHeight="1">
      <c r="A1053" s="14"/>
      <c r="B1053" s="73"/>
      <c r="C1053" s="74"/>
      <c r="D1053" s="1709"/>
      <c r="E1053" s="1710"/>
      <c r="F1053" s="1710"/>
      <c r="G1053" s="1710"/>
      <c r="H1053" s="1710"/>
      <c r="I1053" s="1710"/>
      <c r="J1053" s="1710"/>
      <c r="K1053" s="1710"/>
      <c r="L1053" s="1710"/>
      <c r="M1053" s="1710"/>
      <c r="N1053" s="1710"/>
      <c r="O1053" s="1710"/>
      <c r="P1053" s="1710"/>
      <c r="Q1053" s="1710"/>
      <c r="R1053" s="1710"/>
      <c r="S1053" s="1710"/>
      <c r="T1053" s="1710"/>
      <c r="U1053" s="1710"/>
      <c r="V1053" s="1710"/>
      <c r="W1053" s="1710"/>
      <c r="X1053" s="1710"/>
      <c r="Y1053" s="1710"/>
      <c r="Z1053" s="1710"/>
      <c r="AA1053" s="1710"/>
      <c r="AB1053" s="1710"/>
      <c r="AC1053" s="1710"/>
      <c r="AD1053" s="1710"/>
      <c r="AE1053" s="1711"/>
      <c r="AF1053" s="73"/>
      <c r="AG1053" s="14"/>
      <c r="AH1053" s="14"/>
      <c r="AI1053" s="83"/>
      <c r="AJ1053" s="1712"/>
      <c r="AK1053" s="1713"/>
      <c r="AL1053" s="1713"/>
      <c r="AM1053" s="1713"/>
      <c r="AN1053" s="1713"/>
      <c r="AO1053" s="1713"/>
      <c r="AP1053" s="1713"/>
      <c r="AQ1053" s="1714"/>
      <c r="AR1053" s="68"/>
      <c r="AS1053" s="68"/>
      <c r="AT1053" s="68"/>
      <c r="AU1053" s="68"/>
      <c r="AV1053" s="68"/>
      <c r="AW1053" s="68"/>
      <c r="AX1053" s="68"/>
      <c r="AY1053" s="68"/>
    </row>
    <row r="1054" spans="1:57" ht="12.95" customHeight="1">
      <c r="A1054" s="14"/>
      <c r="B1054" s="79"/>
      <c r="C1054" s="131" t="s">
        <v>1673</v>
      </c>
      <c r="D1054" s="1687" t="s">
        <v>1838</v>
      </c>
      <c r="E1054" s="1688"/>
      <c r="F1054" s="1688"/>
      <c r="G1054" s="1688"/>
      <c r="H1054" s="1688"/>
      <c r="I1054" s="1688"/>
      <c r="J1054" s="1688"/>
      <c r="K1054" s="1688"/>
      <c r="L1054" s="1688"/>
      <c r="M1054" s="1688"/>
      <c r="N1054" s="1688"/>
      <c r="O1054" s="1688"/>
      <c r="P1054" s="1688"/>
      <c r="Q1054" s="1688"/>
      <c r="R1054" s="1688"/>
      <c r="S1054" s="1688"/>
      <c r="T1054" s="1688"/>
      <c r="U1054" s="1688"/>
      <c r="V1054" s="1688"/>
      <c r="W1054" s="1688"/>
      <c r="X1054" s="1688"/>
      <c r="Y1054" s="1688"/>
      <c r="Z1054" s="1688"/>
      <c r="AA1054" s="1688"/>
      <c r="AB1054" s="1688"/>
      <c r="AC1054" s="1688"/>
      <c r="AD1054" s="1688"/>
      <c r="AE1054" s="1689"/>
      <c r="AF1054" s="79"/>
      <c r="AG1054" s="1721" t="str">
        <f>IF(X1057&gt;0,"Yes","No")</f>
        <v>Yes</v>
      </c>
      <c r="AH1054" s="1722"/>
      <c r="AI1054" s="87"/>
      <c r="AJ1054" s="1700">
        <f>IF((X1057=0),0,AY1014*AJ1001)</f>
        <v>9884587.2000000011</v>
      </c>
      <c r="AK1054" s="1701"/>
      <c r="AL1054" s="1701"/>
      <c r="AM1054" s="1701"/>
      <c r="AN1054" s="1701"/>
      <c r="AO1054" s="1701"/>
      <c r="AP1054" s="1701"/>
      <c r="AQ1054" s="1702"/>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706" t="s">
        <v>1298</v>
      </c>
      <c r="E1055" s="1707"/>
      <c r="F1055" s="1707"/>
      <c r="G1055" s="1707"/>
      <c r="H1055" s="1707"/>
      <c r="I1055" s="1707"/>
      <c r="J1055" s="1707"/>
      <c r="K1055" s="1707"/>
      <c r="L1055" s="1707"/>
      <c r="M1055" s="1707"/>
      <c r="N1055" s="1707"/>
      <c r="O1055" s="1707"/>
      <c r="P1055" s="1707"/>
      <c r="Q1055" s="1707"/>
      <c r="R1055" s="1707"/>
      <c r="S1055" s="1707"/>
      <c r="T1055" s="1707"/>
      <c r="U1055" s="1707"/>
      <c r="V1055" s="1707"/>
      <c r="W1055" s="1707"/>
      <c r="X1055" s="1707"/>
      <c r="Y1055" s="1707"/>
      <c r="Z1055" s="1707"/>
      <c r="AA1055" s="1707"/>
      <c r="AB1055" s="1707"/>
      <c r="AC1055" s="1707"/>
      <c r="AD1055" s="1707"/>
      <c r="AE1055" s="1708"/>
      <c r="AF1055" s="73"/>
      <c r="AG1055" s="443"/>
      <c r="AH1055" s="443"/>
      <c r="AI1055" s="83"/>
      <c r="AJ1055" s="1703"/>
      <c r="AK1055" s="1704"/>
      <c r="AL1055" s="1704"/>
      <c r="AM1055" s="1704"/>
      <c r="AN1055" s="1704"/>
      <c r="AO1055" s="1704"/>
      <c r="AP1055" s="1704"/>
      <c r="AQ1055" s="1705"/>
      <c r="AR1055" s="68"/>
      <c r="AS1055" s="68"/>
      <c r="AT1055" s="68"/>
      <c r="AU1055" s="13"/>
      <c r="AV1055" s="68"/>
      <c r="AW1055" s="68"/>
      <c r="AX1055" s="68"/>
      <c r="AY1055" s="68"/>
      <c r="AZ1055" s="958">
        <f>'Sources and Uses Budget'!S97*BA1055</f>
        <v>3019506</v>
      </c>
      <c r="BA1055" s="1175">
        <f>IF(BA1049,20%,15%)</f>
        <v>0.15</v>
      </c>
      <c r="BB1055" s="3" t="s">
        <v>2408</v>
      </c>
      <c r="BC1055" s="3" t="s">
        <v>2409</v>
      </c>
      <c r="BD1055" s="3"/>
    </row>
    <row r="1056" spans="1:57" ht="12.95" customHeight="1">
      <c r="A1056" s="14"/>
      <c r="B1056" s="73"/>
      <c r="C1056" s="442"/>
      <c r="D1056" s="1706"/>
      <c r="E1056" s="1707"/>
      <c r="F1056" s="1707"/>
      <c r="G1056" s="1707"/>
      <c r="H1056" s="1707"/>
      <c r="I1056" s="1707"/>
      <c r="J1056" s="1707"/>
      <c r="K1056" s="1707"/>
      <c r="L1056" s="1707"/>
      <c r="M1056" s="1707"/>
      <c r="N1056" s="1707"/>
      <c r="O1056" s="1707"/>
      <c r="P1056" s="1707"/>
      <c r="Q1056" s="1707"/>
      <c r="R1056" s="1707"/>
      <c r="S1056" s="1707"/>
      <c r="T1056" s="1707"/>
      <c r="U1056" s="1707"/>
      <c r="V1056" s="1707"/>
      <c r="W1056" s="1707"/>
      <c r="X1056" s="1707"/>
      <c r="Y1056" s="1707"/>
      <c r="Z1056" s="1707"/>
      <c r="AA1056" s="1707"/>
      <c r="AB1056" s="1707"/>
      <c r="AC1056" s="1707"/>
      <c r="AD1056" s="1707"/>
      <c r="AE1056" s="1708"/>
      <c r="AF1056" s="73"/>
      <c r="AG1056" s="443"/>
      <c r="AH1056" s="443"/>
      <c r="AI1056" s="83"/>
      <c r="AJ1056" s="1703"/>
      <c r="AK1056" s="1704"/>
      <c r="AL1056" s="1704"/>
      <c r="AM1056" s="1704"/>
      <c r="AN1056" s="1704"/>
      <c r="AO1056" s="1704"/>
      <c r="AP1056" s="1704"/>
      <c r="AQ1056" s="1705"/>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972</v>
      </c>
      <c r="E1057" s="133"/>
      <c r="F1057" s="133"/>
      <c r="G1057" s="133"/>
      <c r="H1057" s="133"/>
      <c r="I1057" s="1741">
        <f>AY1012</f>
        <v>220</v>
      </c>
      <c r="J1057" s="1742"/>
      <c r="K1057" s="7"/>
      <c r="L1057" s="133"/>
      <c r="M1057" s="133"/>
      <c r="N1057" s="133"/>
      <c r="O1057" s="133"/>
      <c r="P1057" s="133"/>
      <c r="Q1057" s="133"/>
      <c r="R1057" s="133"/>
      <c r="S1057" s="133"/>
      <c r="T1057" s="133"/>
      <c r="U1057" s="133"/>
      <c r="V1057" s="134" t="s">
        <v>973</v>
      </c>
      <c r="W1057" s="48"/>
      <c r="X1057" s="1739">
        <f>CI761</f>
        <v>22</v>
      </c>
      <c r="Y1057" s="1740"/>
      <c r="Z1057" s="48"/>
      <c r="AA1057" s="48"/>
      <c r="AB1057" s="48"/>
      <c r="AC1057" s="48"/>
      <c r="AD1057" s="48"/>
      <c r="AE1057" s="49"/>
      <c r="AF1057" s="920"/>
      <c r="AG1057" s="921"/>
      <c r="AH1057" s="921"/>
      <c r="AI1057" s="922"/>
      <c r="AJ1057" s="1712"/>
      <c r="AK1057" s="1713"/>
      <c r="AL1057" s="1713"/>
      <c r="AM1057" s="1713"/>
      <c r="AN1057" s="1713"/>
      <c r="AO1057" s="1713"/>
      <c r="AP1057" s="1713"/>
      <c r="AQ1057" s="1714"/>
      <c r="AR1057" s="68"/>
      <c r="AS1057" s="68"/>
      <c r="AT1057" s="68"/>
      <c r="AU1057" s="14"/>
      <c r="AV1057" s="68"/>
      <c r="AW1057" s="68"/>
      <c r="AX1057" s="68"/>
      <c r="AY1057" s="68"/>
      <c r="AZ1057" s="958">
        <f>IF(M367="N/A",0,'Sources and Uses Budget'!T97*BA1057)</f>
        <v>1660000</v>
      </c>
      <c r="BA1057" s="1175" cm="1">
        <f t="array" ref="BA1057">_xlfn.IFS(X180="Yes",5%,$BA$1047&gt;50000,15%,BA1048&gt;=30%,15%,TRUE,5%)</f>
        <v>0.05</v>
      </c>
      <c r="BB1057" s="3" t="s">
        <v>2408</v>
      </c>
      <c r="BC1057" s="3" t="s">
        <v>2411</v>
      </c>
      <c r="BD1057" s="3"/>
    </row>
    <row r="1058" spans="1:56" ht="12.95" customHeight="1">
      <c r="A1058" s="14"/>
      <c r="B1058" s="79"/>
      <c r="C1058" s="131" t="s">
        <v>1674</v>
      </c>
      <c r="D1058" s="1665" t="s">
        <v>2124</v>
      </c>
      <c r="E1058" s="1666"/>
      <c r="F1058" s="1666"/>
      <c r="G1058" s="1666"/>
      <c r="H1058" s="1666"/>
      <c r="I1058" s="1666"/>
      <c r="J1058" s="1666"/>
      <c r="K1058" s="1666"/>
      <c r="L1058" s="1666"/>
      <c r="M1058" s="1666"/>
      <c r="N1058" s="1666"/>
      <c r="O1058" s="1666"/>
      <c r="P1058" s="1666"/>
      <c r="Q1058" s="1666"/>
      <c r="R1058" s="1666"/>
      <c r="S1058" s="1666"/>
      <c r="T1058" s="1666"/>
      <c r="U1058" s="1666"/>
      <c r="V1058" s="1666"/>
      <c r="W1058" s="1666"/>
      <c r="X1058" s="1666"/>
      <c r="Y1058" s="1666"/>
      <c r="Z1058" s="1666"/>
      <c r="AA1058" s="1666"/>
      <c r="AB1058" s="1666"/>
      <c r="AC1058" s="1666"/>
      <c r="AD1058" s="1666"/>
      <c r="AE1058" s="1667"/>
      <c r="AF1058" s="73"/>
      <c r="AG1058" s="1721" t="str">
        <f>IF(X1061&gt;0,"Yes","No")</f>
        <v>Yes</v>
      </c>
      <c r="AH1058" s="1722"/>
      <c r="AI1058" s="83"/>
      <c r="AJ1058" s="1700">
        <f>IF((X1061=0),0,(2*AY1015)*AJ1001)</f>
        <v>19769174.400000002</v>
      </c>
      <c r="AK1058" s="1701"/>
      <c r="AL1058" s="1701"/>
      <c r="AM1058" s="1701"/>
      <c r="AN1058" s="1701"/>
      <c r="AO1058" s="1701"/>
      <c r="AP1058" s="1701"/>
      <c r="AQ1058" s="1702"/>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706" t="s">
        <v>1297</v>
      </c>
      <c r="E1059" s="1707"/>
      <c r="F1059" s="1707"/>
      <c r="G1059" s="1707"/>
      <c r="H1059" s="1707"/>
      <c r="I1059" s="1707"/>
      <c r="J1059" s="1707"/>
      <c r="K1059" s="1707"/>
      <c r="L1059" s="1707"/>
      <c r="M1059" s="1707"/>
      <c r="N1059" s="1707"/>
      <c r="O1059" s="1707"/>
      <c r="P1059" s="1707"/>
      <c r="Q1059" s="1707"/>
      <c r="R1059" s="1707"/>
      <c r="S1059" s="1707"/>
      <c r="T1059" s="1707"/>
      <c r="U1059" s="1707"/>
      <c r="V1059" s="1707"/>
      <c r="W1059" s="1707"/>
      <c r="X1059" s="1707"/>
      <c r="Y1059" s="1707"/>
      <c r="Z1059" s="1707"/>
      <c r="AA1059" s="1707"/>
      <c r="AB1059" s="1707"/>
      <c r="AC1059" s="1707"/>
      <c r="AD1059" s="1707"/>
      <c r="AE1059" s="1708"/>
      <c r="AF1059" s="73"/>
      <c r="AG1059" s="443"/>
      <c r="AH1059" s="443"/>
      <c r="AI1059" s="83"/>
      <c r="AJ1059" s="1703"/>
      <c r="AK1059" s="1704"/>
      <c r="AL1059" s="1704"/>
      <c r="AM1059" s="1704"/>
      <c r="AN1059" s="1704"/>
      <c r="AO1059" s="1704"/>
      <c r="AP1059" s="1704"/>
      <c r="AQ1059" s="1705"/>
      <c r="AR1059" s="68"/>
      <c r="AS1059" s="68"/>
      <c r="AT1059" s="68"/>
      <c r="AU1059" s="68"/>
      <c r="AV1059" s="68"/>
      <c r="AW1059" s="68"/>
      <c r="AX1059" s="68"/>
      <c r="AY1059" s="68"/>
      <c r="AZ1059" s="958"/>
      <c r="BA1059" s="3"/>
      <c r="BB1059" s="3"/>
      <c r="BC1059" s="3"/>
      <c r="BD1059" s="3"/>
    </row>
    <row r="1060" spans="1:56" ht="12.95" customHeight="1">
      <c r="A1060" s="14"/>
      <c r="B1060" s="73"/>
      <c r="C1060" s="83"/>
      <c r="D1060" s="1706"/>
      <c r="E1060" s="1707"/>
      <c r="F1060" s="1707"/>
      <c r="G1060" s="1707"/>
      <c r="H1060" s="1707"/>
      <c r="I1060" s="1707"/>
      <c r="J1060" s="1707"/>
      <c r="K1060" s="1707"/>
      <c r="L1060" s="1707"/>
      <c r="M1060" s="1707"/>
      <c r="N1060" s="1707"/>
      <c r="O1060" s="1707"/>
      <c r="P1060" s="1707"/>
      <c r="Q1060" s="1707"/>
      <c r="R1060" s="1707"/>
      <c r="S1060" s="1707"/>
      <c r="T1060" s="1707"/>
      <c r="U1060" s="1707"/>
      <c r="V1060" s="1707"/>
      <c r="W1060" s="1707"/>
      <c r="X1060" s="1707"/>
      <c r="Y1060" s="1707"/>
      <c r="Z1060" s="1707"/>
      <c r="AA1060" s="1707"/>
      <c r="AB1060" s="1707"/>
      <c r="AC1060" s="1707"/>
      <c r="AD1060" s="1707"/>
      <c r="AE1060" s="1708"/>
      <c r="AF1060" s="917"/>
      <c r="AG1060" s="918"/>
      <c r="AH1060" s="918"/>
      <c r="AI1060" s="919"/>
      <c r="AJ1060" s="1703"/>
      <c r="AK1060" s="1704"/>
      <c r="AL1060" s="1704"/>
      <c r="AM1060" s="1704"/>
      <c r="AN1060" s="1704"/>
      <c r="AO1060" s="1704"/>
      <c r="AP1060" s="1704"/>
      <c r="AQ1060" s="1705"/>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741">
        <f>AY1012</f>
        <v>220</v>
      </c>
      <c r="J1061" s="1742"/>
      <c r="K1061" s="14"/>
      <c r="L1061" s="133"/>
      <c r="M1061" s="133"/>
      <c r="N1061" s="133"/>
      <c r="O1061" s="133"/>
      <c r="P1061" s="133"/>
      <c r="Q1061" s="133"/>
      <c r="R1061" s="133"/>
      <c r="S1061" s="133"/>
      <c r="T1061" s="133"/>
      <c r="U1061" s="133"/>
      <c r="V1061" s="134" t="s">
        <v>974</v>
      </c>
      <c r="X1061" s="1739">
        <f>CM761</f>
        <v>23</v>
      </c>
      <c r="Y1061" s="1740"/>
      <c r="AF1061" s="920"/>
      <c r="AG1061" s="921"/>
      <c r="AH1061" s="921"/>
      <c r="AI1061" s="922"/>
      <c r="AJ1061" s="1712"/>
      <c r="AK1061" s="1713"/>
      <c r="AL1061" s="1713"/>
      <c r="AM1061" s="1713"/>
      <c r="AN1061" s="1713"/>
      <c r="AO1061" s="1713"/>
      <c r="AP1061" s="1713"/>
      <c r="AQ1061" s="1714"/>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737" t="s">
        <v>513</v>
      </c>
      <c r="E1062" s="1737"/>
      <c r="F1062" s="1737"/>
      <c r="G1062" s="1737"/>
      <c r="H1062" s="1737"/>
      <c r="I1062" s="1737"/>
      <c r="J1062" s="1737"/>
      <c r="K1062" s="1737"/>
      <c r="L1062" s="1737"/>
      <c r="M1062" s="1737"/>
      <c r="N1062" s="1737"/>
      <c r="O1062" s="1737"/>
      <c r="P1062" s="1737"/>
      <c r="Q1062" s="1737"/>
      <c r="R1062" s="1737"/>
      <c r="S1062" s="1737"/>
      <c r="T1062" s="1737"/>
      <c r="U1062" s="1737"/>
      <c r="V1062" s="1737"/>
      <c r="W1062" s="1737"/>
      <c r="X1062" s="1737"/>
      <c r="Y1062" s="1737"/>
      <c r="Z1062" s="1737"/>
      <c r="AA1062" s="1737"/>
      <c r="AB1062" s="1737"/>
      <c r="AC1062" s="1737"/>
      <c r="AD1062" s="1737"/>
      <c r="AE1062" s="1737"/>
      <c r="AF1062" s="1737"/>
      <c r="AG1062" s="1737"/>
      <c r="AH1062" s="1737"/>
      <c r="AI1062" s="1738"/>
      <c r="AJ1062" s="1749">
        <f>SUM(AJ1001:AQ1061)</f>
        <v>138384220.59999999</v>
      </c>
      <c r="AK1062" s="1750"/>
      <c r="AL1062" s="1750"/>
      <c r="AM1062" s="1750"/>
      <c r="AN1062" s="1750"/>
      <c r="AO1062" s="1750"/>
      <c r="AP1062" s="1750"/>
      <c r="AQ1062" s="1751"/>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90">
        <f>'Sources and Uses Budget'!S107+'Sources and Uses Budget'!T107</f>
        <v>57695884</v>
      </c>
      <c r="AB1065" s="1290"/>
      <c r="AC1065" s="1290"/>
      <c r="AD1065" s="1290"/>
      <c r="AE1065" s="1290"/>
      <c r="AF1065" s="129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4679506</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91">
        <f>IFERROR((AA1065-BA1068)/(AJ1062-AJ1054-AJ1058),"")</f>
        <v>0.51347194257682671</v>
      </c>
      <c r="AB1066" s="1292"/>
      <c r="AC1066" s="1292"/>
      <c r="AD1066" s="1292"/>
      <c r="AE1066" s="1292"/>
      <c r="AF1066" s="129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29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94"/>
      <c r="I1067" s="1294"/>
      <c r="J1067" s="1294"/>
      <c r="K1067" s="1294"/>
      <c r="L1067" s="1294"/>
      <c r="M1067" s="1294"/>
      <c r="N1067" s="1294"/>
      <c r="O1067" s="1294"/>
      <c r="P1067" s="1294"/>
      <c r="Q1067" s="1294"/>
      <c r="R1067" s="1294"/>
      <c r="S1067" s="1294"/>
      <c r="T1067" s="1294"/>
      <c r="U1067" s="1294"/>
      <c r="V1067" s="1294"/>
      <c r="W1067" s="1294"/>
      <c r="X1067" s="1294"/>
      <c r="Y1067" s="1294"/>
      <c r="Z1067" s="1294"/>
      <c r="AA1067" s="1294"/>
      <c r="AB1067" s="1294"/>
      <c r="AC1067" s="1294"/>
      <c r="AD1067" s="1294"/>
      <c r="AE1067" s="1294"/>
      <c r="AF1067" s="1294"/>
      <c r="AG1067" s="1294"/>
      <c r="AH1067" s="1294"/>
      <c r="AI1067" s="1294"/>
      <c r="AJ1067" s="1294"/>
      <c r="AK1067" s="1294"/>
      <c r="AL1067" s="1294"/>
      <c r="AM1067" s="1294"/>
      <c r="AN1067" s="1294"/>
      <c r="AO1067" s="68"/>
      <c r="AP1067" s="68"/>
      <c r="AQ1067" s="68"/>
      <c r="AR1067" s="68"/>
      <c r="AS1067" s="68"/>
      <c r="AT1067" s="68"/>
      <c r="AU1067" s="68"/>
      <c r="AV1067" s="14"/>
      <c r="AW1067" s="14"/>
      <c r="AX1067" s="14"/>
      <c r="AY1067" s="14"/>
      <c r="BA1067" s="1178">
        <f>'Sources and Uses Budget'!$S$104+'Sources and Uses Budget'!$T$104</f>
        <v>4365844</v>
      </c>
      <c r="BB1067" s="3" t="s">
        <v>2423</v>
      </c>
    </row>
    <row r="1068" spans="1:56" ht="12.95" customHeight="1">
      <c r="A1068" s="14"/>
      <c r="B1068" s="14"/>
      <c r="C1068" s="208"/>
      <c r="D1068" s="854"/>
      <c r="E1068" s="854"/>
      <c r="F1068" s="854"/>
      <c r="G1068" s="1294"/>
      <c r="H1068" s="1294"/>
      <c r="I1068" s="1294"/>
      <c r="J1068" s="1294"/>
      <c r="K1068" s="1294"/>
      <c r="L1068" s="1294"/>
      <c r="M1068" s="1294"/>
      <c r="N1068" s="1294"/>
      <c r="O1068" s="1294"/>
      <c r="P1068" s="1294"/>
      <c r="Q1068" s="1294"/>
      <c r="R1068" s="1294"/>
      <c r="S1068" s="1294"/>
      <c r="T1068" s="1294"/>
      <c r="U1068" s="1294"/>
      <c r="V1068" s="1294"/>
      <c r="W1068" s="1294"/>
      <c r="X1068" s="1294"/>
      <c r="Y1068" s="1294"/>
      <c r="Z1068" s="1294"/>
      <c r="AA1068" s="1294"/>
      <c r="AB1068" s="1294"/>
      <c r="AC1068" s="1294"/>
      <c r="AD1068" s="1294"/>
      <c r="AE1068" s="1294"/>
      <c r="AF1068" s="1294"/>
      <c r="AG1068" s="1294"/>
      <c r="AH1068" s="1294"/>
      <c r="AI1068" s="1294"/>
      <c r="AJ1068" s="1294"/>
      <c r="AK1068" s="1294"/>
      <c r="AL1068" s="1294"/>
      <c r="AM1068" s="1294"/>
      <c r="AN1068" s="1294"/>
      <c r="AO1068" s="68"/>
      <c r="AP1068" s="68"/>
      <c r="AQ1068" s="68"/>
      <c r="AR1068" s="68"/>
      <c r="AS1068" s="68"/>
      <c r="AT1068" s="68"/>
      <c r="AU1068" s="68"/>
      <c r="AV1068" s="14"/>
      <c r="AW1068" s="14"/>
      <c r="AX1068" s="14"/>
      <c r="AY1068" s="14"/>
      <c r="BA1068" s="1179">
        <f>MAX($BA$1067-$BA$1064,0)</f>
        <v>1865844</v>
      </c>
      <c r="BB1068" s="3" t="s">
        <v>2424</v>
      </c>
    </row>
    <row r="1069" spans="1:56" ht="12.95" customHeight="1">
      <c r="A1069" s="88"/>
      <c r="B1069" s="1165"/>
      <c r="C1069" s="1165"/>
      <c r="D1069" s="1165"/>
      <c r="E1069" s="1165"/>
      <c r="F1069" s="1165"/>
      <c r="G1069" s="1294"/>
      <c r="H1069" s="1294"/>
      <c r="I1069" s="1294"/>
      <c r="J1069" s="1294"/>
      <c r="K1069" s="1294"/>
      <c r="L1069" s="1294"/>
      <c r="M1069" s="1294"/>
      <c r="N1069" s="1294"/>
      <c r="O1069" s="1294"/>
      <c r="P1069" s="1294"/>
      <c r="Q1069" s="1294"/>
      <c r="R1069" s="1294"/>
      <c r="S1069" s="1294"/>
      <c r="T1069" s="1294"/>
      <c r="U1069" s="1294"/>
      <c r="V1069" s="1294"/>
      <c r="W1069" s="1294"/>
      <c r="X1069" s="1294"/>
      <c r="Y1069" s="1294"/>
      <c r="Z1069" s="1294"/>
      <c r="AA1069" s="1294"/>
      <c r="AB1069" s="1294"/>
      <c r="AC1069" s="1294"/>
      <c r="AD1069" s="1294"/>
      <c r="AE1069" s="1294"/>
      <c r="AF1069" s="1294"/>
      <c r="AG1069" s="1294"/>
      <c r="AH1069" s="1294"/>
      <c r="AI1069" s="1294"/>
      <c r="AJ1069" s="1294"/>
      <c r="AK1069" s="1294"/>
      <c r="AL1069" s="1294"/>
      <c r="AM1069" s="1294"/>
      <c r="AN1069" s="1294"/>
      <c r="AO1069" s="1165"/>
      <c r="AP1069" s="1165"/>
      <c r="AQ1069" s="68"/>
      <c r="AR1069" s="68"/>
      <c r="AS1069" s="68"/>
      <c r="AT1069" s="68"/>
      <c r="AU1069" s="68"/>
      <c r="AV1069" s="68"/>
      <c r="AW1069" s="68"/>
      <c r="AX1069" s="68"/>
      <c r="AY1069" s="68"/>
    </row>
    <row r="1070" spans="1:56" ht="12.95" customHeight="1">
      <c r="A1070" s="1774" t="s">
        <v>794</v>
      </c>
      <c r="B1070" s="1774"/>
      <c r="C1070" s="1774"/>
      <c r="D1070" s="1774"/>
      <c r="E1070" s="1774"/>
      <c r="F1070" s="1774"/>
      <c r="G1070" s="1774"/>
      <c r="H1070" s="1774"/>
      <c r="I1070" s="1774"/>
      <c r="J1070" s="1774"/>
      <c r="K1070" s="1774"/>
      <c r="L1070" s="1774"/>
      <c r="M1070" s="1774"/>
      <c r="N1070" s="1774"/>
      <c r="O1070" s="1774"/>
      <c r="P1070" s="1774"/>
      <c r="Q1070" s="1774"/>
      <c r="R1070" s="1774"/>
      <c r="S1070" s="1774"/>
      <c r="T1070" s="1774"/>
      <c r="U1070" s="1774"/>
      <c r="V1070" s="1774"/>
      <c r="W1070" s="1774"/>
      <c r="X1070" s="1774"/>
      <c r="Y1070" s="1774"/>
      <c r="Z1070" s="1774"/>
      <c r="AA1070" s="1774"/>
      <c r="AB1070" s="1774"/>
      <c r="AC1070" s="1774"/>
      <c r="AD1070" s="1774"/>
      <c r="AE1070" s="1774"/>
      <c r="AF1070" s="1774"/>
      <c r="AG1070" s="1774"/>
      <c r="AH1070" s="1774"/>
      <c r="AI1070" s="1774"/>
      <c r="AJ1070" s="1774"/>
      <c r="AK1070" s="1774"/>
      <c r="AL1070" s="1774"/>
      <c r="AM1070" s="1774"/>
      <c r="AN1070" s="1774"/>
      <c r="AO1070" s="1774"/>
      <c r="AP1070" s="1774"/>
      <c r="AQ1070" s="1774"/>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269" t="s">
        <v>591</v>
      </c>
      <c r="B1074" s="1269"/>
      <c r="C1074" s="1798">
        <v>1</v>
      </c>
      <c r="D1074" s="1798"/>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798"/>
      <c r="D1075" s="1798"/>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269" t="s">
        <v>591</v>
      </c>
      <c r="B1076" s="1269"/>
      <c r="C1076" s="1798">
        <v>2</v>
      </c>
      <c r="D1076" s="1798"/>
      <c r="E1076" s="1800" t="s">
        <v>2191</v>
      </c>
      <c r="F1076" s="1800"/>
      <c r="G1076" s="1800"/>
      <c r="H1076" s="1800"/>
      <c r="I1076" s="1800"/>
      <c r="J1076" s="1800"/>
      <c r="K1076" s="1800"/>
      <c r="L1076" s="1800"/>
      <c r="M1076" s="1800"/>
      <c r="N1076" s="1800"/>
      <c r="O1076" s="1800"/>
      <c r="P1076" s="1800"/>
      <c r="Q1076" s="1800"/>
      <c r="R1076" s="1800"/>
      <c r="S1076" s="1800"/>
      <c r="T1076" s="1800"/>
      <c r="U1076" s="1800"/>
      <c r="V1076" s="1800"/>
      <c r="W1076" s="1800"/>
      <c r="X1076" s="1800"/>
      <c r="Y1076" s="1800"/>
      <c r="Z1076" s="1800"/>
      <c r="AA1076" s="1800"/>
      <c r="AB1076" s="1800"/>
      <c r="AC1076" s="1800"/>
      <c r="AD1076" s="1800"/>
      <c r="AE1076" s="1800"/>
      <c r="AF1076" s="1800"/>
      <c r="AG1076" s="1800"/>
      <c r="AH1076" s="1800"/>
      <c r="AI1076" s="1800"/>
      <c r="AJ1076" s="1800"/>
      <c r="AK1076" s="1800"/>
      <c r="AL1076" s="1800"/>
      <c r="AM1076" s="1800"/>
      <c r="AN1076" s="1800"/>
      <c r="AO1076" s="1800"/>
      <c r="AP1076" s="1800"/>
      <c r="AQ1076" s="1800"/>
      <c r="AR1076" s="1800"/>
      <c r="AS1076" s="14"/>
      <c r="AT1076" s="14"/>
      <c r="AV1076" s="68"/>
      <c r="AW1076" s="68"/>
      <c r="AX1076" s="68"/>
      <c r="AY1076" s="68"/>
    </row>
    <row r="1077" spans="1:51" ht="12.95" customHeight="1">
      <c r="A1077" s="198"/>
      <c r="B1077" s="67"/>
      <c r="C1077" s="1798"/>
      <c r="D1077" s="1798"/>
      <c r="E1077" s="1800"/>
      <c r="F1077" s="1800"/>
      <c r="G1077" s="1800"/>
      <c r="H1077" s="1800"/>
      <c r="I1077" s="1800"/>
      <c r="J1077" s="1800"/>
      <c r="K1077" s="1800"/>
      <c r="L1077" s="1800"/>
      <c r="M1077" s="1800"/>
      <c r="N1077" s="1800"/>
      <c r="O1077" s="1800"/>
      <c r="P1077" s="1800"/>
      <c r="Q1077" s="1800"/>
      <c r="R1077" s="1800"/>
      <c r="S1077" s="1800"/>
      <c r="T1077" s="1800"/>
      <c r="U1077" s="1800"/>
      <c r="V1077" s="1800"/>
      <c r="W1077" s="1800"/>
      <c r="X1077" s="1800"/>
      <c r="Y1077" s="1800"/>
      <c r="Z1077" s="1800"/>
      <c r="AA1077" s="1800"/>
      <c r="AB1077" s="1800"/>
      <c r="AC1077" s="1800"/>
      <c r="AD1077" s="1800"/>
      <c r="AE1077" s="1800"/>
      <c r="AF1077" s="1800"/>
      <c r="AG1077" s="1800"/>
      <c r="AH1077" s="1800"/>
      <c r="AI1077" s="1800"/>
      <c r="AJ1077" s="1800"/>
      <c r="AK1077" s="1800"/>
      <c r="AL1077" s="1800"/>
      <c r="AM1077" s="1800"/>
      <c r="AN1077" s="1800"/>
      <c r="AO1077" s="1800"/>
      <c r="AP1077" s="1800"/>
      <c r="AQ1077" s="1800"/>
      <c r="AR1077" s="1800"/>
      <c r="AS1077" s="14"/>
      <c r="AT1077" s="14"/>
      <c r="AV1077" s="68"/>
      <c r="AW1077" s="68"/>
      <c r="AX1077" s="68"/>
      <c r="AY1077" s="68"/>
    </row>
    <row r="1078" spans="1:51" ht="12.95" customHeight="1">
      <c r="A1078" s="198"/>
      <c r="B1078" s="67"/>
      <c r="C1078" s="1798"/>
      <c r="D1078" s="1798"/>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269" t="s">
        <v>591</v>
      </c>
      <c r="B1079" s="1269"/>
      <c r="C1079" s="1438">
        <v>3</v>
      </c>
      <c r="D1079" s="1438"/>
      <c r="E1079" s="1777" t="s">
        <v>1080</v>
      </c>
      <c r="F1079" s="1777"/>
      <c r="G1079" s="1777"/>
      <c r="H1079" s="1777"/>
      <c r="I1079" s="1777"/>
      <c r="J1079" s="1777"/>
      <c r="K1079" s="1777"/>
      <c r="L1079" s="1777"/>
      <c r="M1079" s="1777"/>
      <c r="N1079" s="1777"/>
      <c r="O1079" s="1777"/>
      <c r="P1079" s="1777"/>
      <c r="Q1079" s="1777"/>
      <c r="R1079" s="1777"/>
      <c r="S1079" s="1777"/>
      <c r="T1079" s="1777"/>
      <c r="U1079" s="1777"/>
      <c r="V1079" s="1777"/>
      <c r="W1079" s="1777"/>
      <c r="X1079" s="1777"/>
      <c r="Y1079" s="1777"/>
      <c r="Z1079" s="1777"/>
      <c r="AA1079" s="1777"/>
      <c r="AB1079" s="1777"/>
      <c r="AC1079" s="1777"/>
      <c r="AD1079" s="1777"/>
      <c r="AE1079" s="1777"/>
      <c r="AF1079" s="1777"/>
      <c r="AG1079" s="1777"/>
      <c r="AH1079" s="1777"/>
      <c r="AI1079" s="1777"/>
      <c r="AJ1079" s="1777"/>
      <c r="AK1079" s="1777"/>
      <c r="AL1079" s="1777"/>
      <c r="AM1079" s="1777"/>
      <c r="AN1079" s="1777"/>
      <c r="AO1079" s="1777"/>
      <c r="AP1079" s="1777"/>
      <c r="AQ1079" s="1777"/>
      <c r="AR1079" s="1777"/>
      <c r="AS1079" s="14"/>
      <c r="AT1079" s="68"/>
      <c r="AV1079" s="68"/>
      <c r="AW1079" s="68"/>
      <c r="AX1079" s="68"/>
      <c r="AY1079" s="68"/>
    </row>
    <row r="1080" spans="1:51" ht="12.95" customHeight="1">
      <c r="A1080" s="1"/>
      <c r="B1080" s="1"/>
      <c r="C1080" s="1438"/>
      <c r="D1080" s="1438"/>
      <c r="E1080" s="1777"/>
      <c r="F1080" s="1777"/>
      <c r="G1080" s="1777"/>
      <c r="H1080" s="1777"/>
      <c r="I1080" s="1777"/>
      <c r="J1080" s="1777"/>
      <c r="K1080" s="1777"/>
      <c r="L1080" s="1777"/>
      <c r="M1080" s="1777"/>
      <c r="N1080" s="1777"/>
      <c r="O1080" s="1777"/>
      <c r="P1080" s="1777"/>
      <c r="Q1080" s="1777"/>
      <c r="R1080" s="1777"/>
      <c r="S1080" s="1777"/>
      <c r="T1080" s="1777"/>
      <c r="U1080" s="1777"/>
      <c r="V1080" s="1777"/>
      <c r="W1080" s="1777"/>
      <c r="X1080" s="1777"/>
      <c r="Y1080" s="1777"/>
      <c r="Z1080" s="1777"/>
      <c r="AA1080" s="1777"/>
      <c r="AB1080" s="1777"/>
      <c r="AC1080" s="1777"/>
      <c r="AD1080" s="1777"/>
      <c r="AE1080" s="1777"/>
      <c r="AF1080" s="1777"/>
      <c r="AG1080" s="1777"/>
      <c r="AH1080" s="1777"/>
      <c r="AI1080" s="1777"/>
      <c r="AJ1080" s="1777"/>
      <c r="AK1080" s="1777"/>
      <c r="AL1080" s="1777"/>
      <c r="AM1080" s="1777"/>
      <c r="AN1080" s="1777"/>
      <c r="AO1080" s="1777"/>
      <c r="AP1080" s="1777"/>
      <c r="AQ1080" s="1777"/>
      <c r="AR1080" s="1777"/>
      <c r="AS1080" s="14"/>
      <c r="AT1080" s="68"/>
      <c r="AV1080" s="68"/>
      <c r="AW1080" s="68"/>
      <c r="AX1080" s="68"/>
      <c r="AY1080" s="68"/>
    </row>
    <row r="1081" spans="1:51" ht="12.95" customHeight="1">
      <c r="A1081" s="1"/>
      <c r="B1081" s="1"/>
      <c r="C1081" s="1438"/>
      <c r="D1081" s="1438"/>
      <c r="E1081" s="1777"/>
      <c r="F1081" s="1777"/>
      <c r="G1081" s="1777"/>
      <c r="H1081" s="1777"/>
      <c r="I1081" s="1777"/>
      <c r="J1081" s="1777"/>
      <c r="K1081" s="1777"/>
      <c r="L1081" s="1777"/>
      <c r="M1081" s="1777"/>
      <c r="N1081" s="1777"/>
      <c r="O1081" s="1777"/>
      <c r="P1081" s="1777"/>
      <c r="Q1081" s="1777"/>
      <c r="R1081" s="1777"/>
      <c r="S1081" s="1777"/>
      <c r="T1081" s="1777"/>
      <c r="U1081" s="1777"/>
      <c r="V1081" s="1777"/>
      <c r="W1081" s="1777"/>
      <c r="X1081" s="1777"/>
      <c r="Y1081" s="1777"/>
      <c r="Z1081" s="1777"/>
      <c r="AA1081" s="1777"/>
      <c r="AB1081" s="1777"/>
      <c r="AC1081" s="1777"/>
      <c r="AD1081" s="1777"/>
      <c r="AE1081" s="1777"/>
      <c r="AF1081" s="1777"/>
      <c r="AG1081" s="1777"/>
      <c r="AH1081" s="1777"/>
      <c r="AI1081" s="1777"/>
      <c r="AJ1081" s="1777"/>
      <c r="AK1081" s="1777"/>
      <c r="AL1081" s="1777"/>
      <c r="AM1081" s="1777"/>
      <c r="AN1081" s="1777"/>
      <c r="AO1081" s="1777"/>
      <c r="AP1081" s="1777"/>
      <c r="AQ1081" s="1777"/>
      <c r="AR1081" s="1777"/>
      <c r="AS1081" s="14"/>
      <c r="AT1081" s="68"/>
      <c r="AV1081" s="68"/>
      <c r="AW1081" s="68"/>
      <c r="AX1081" s="68"/>
      <c r="AY1081" s="68"/>
    </row>
    <row r="1082" spans="1:51" ht="12.95" customHeight="1">
      <c r="A1082" s="1"/>
      <c r="B1082" s="1"/>
      <c r="C1082" s="1438"/>
      <c r="D1082" s="1438"/>
      <c r="E1082" s="1777"/>
      <c r="F1082" s="1777"/>
      <c r="G1082" s="1777"/>
      <c r="H1082" s="1777"/>
      <c r="I1082" s="1777"/>
      <c r="J1082" s="1777"/>
      <c r="K1082" s="1777"/>
      <c r="L1082" s="1777"/>
      <c r="M1082" s="1777"/>
      <c r="N1082" s="1777"/>
      <c r="O1082" s="1777"/>
      <c r="P1082" s="1777"/>
      <c r="Q1082" s="1777"/>
      <c r="R1082" s="1777"/>
      <c r="S1082" s="1777"/>
      <c r="T1082" s="1777"/>
      <c r="U1082" s="1777"/>
      <c r="V1082" s="1777"/>
      <c r="W1082" s="1777"/>
      <c r="X1082" s="1777"/>
      <c r="Y1082" s="1777"/>
      <c r="Z1082" s="1777"/>
      <c r="AA1082" s="1777"/>
      <c r="AB1082" s="1777"/>
      <c r="AC1082" s="1777"/>
      <c r="AD1082" s="1777"/>
      <c r="AE1082" s="1777"/>
      <c r="AF1082" s="1777"/>
      <c r="AG1082" s="1777"/>
      <c r="AH1082" s="1777"/>
      <c r="AI1082" s="1777"/>
      <c r="AJ1082" s="1777"/>
      <c r="AK1082" s="1777"/>
      <c r="AL1082" s="1777"/>
      <c r="AM1082" s="1777"/>
      <c r="AN1082" s="1777"/>
      <c r="AO1082" s="1777"/>
      <c r="AP1082" s="1777"/>
      <c r="AQ1082" s="1777"/>
      <c r="AR1082" s="1777"/>
      <c r="AS1082" s="14"/>
      <c r="AT1082" s="68"/>
      <c r="AV1082" s="68"/>
      <c r="AW1082" s="68"/>
      <c r="AX1082" s="68"/>
      <c r="AY1082" s="68"/>
    </row>
    <row r="1083" spans="1:51" ht="12.95" customHeight="1">
      <c r="A1083" s="2"/>
      <c r="B1083" s="25"/>
      <c r="C1083" s="1438"/>
      <c r="D1083" s="1438"/>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269" t="s">
        <v>591</v>
      </c>
      <c r="B1084" s="1269"/>
      <c r="C1084" s="1438">
        <v>4</v>
      </c>
      <c r="D1084" s="1438"/>
      <c r="E1084" s="1777" t="s">
        <v>1079</v>
      </c>
      <c r="F1084" s="1777"/>
      <c r="G1084" s="1777"/>
      <c r="H1084" s="1777"/>
      <c r="I1084" s="1777"/>
      <c r="J1084" s="1777"/>
      <c r="K1084" s="1777"/>
      <c r="L1084" s="1777"/>
      <c r="M1084" s="1777"/>
      <c r="N1084" s="1777"/>
      <c r="O1084" s="1777"/>
      <c r="P1084" s="1777"/>
      <c r="Q1084" s="1777"/>
      <c r="R1084" s="1777"/>
      <c r="S1084" s="1777"/>
      <c r="T1084" s="1777"/>
      <c r="U1084" s="1777"/>
      <c r="V1084" s="1777"/>
      <c r="W1084" s="1777"/>
      <c r="X1084" s="1777"/>
      <c r="Y1084" s="1777"/>
      <c r="Z1084" s="1777"/>
      <c r="AA1084" s="1777"/>
      <c r="AB1084" s="1777"/>
      <c r="AC1084" s="1777"/>
      <c r="AD1084" s="1777"/>
      <c r="AE1084" s="1777"/>
      <c r="AF1084" s="1777"/>
      <c r="AG1084" s="1777"/>
      <c r="AH1084" s="1777"/>
      <c r="AI1084" s="1777"/>
      <c r="AJ1084" s="1777"/>
      <c r="AK1084" s="1777"/>
      <c r="AL1084" s="1777"/>
      <c r="AM1084" s="1777"/>
      <c r="AN1084" s="1777"/>
      <c r="AO1084" s="1777"/>
      <c r="AP1084" s="1777"/>
      <c r="AQ1084" s="1777"/>
      <c r="AR1084" s="1777"/>
      <c r="AS1084" s="14"/>
      <c r="AT1084" s="68"/>
    </row>
    <row r="1085" spans="1:51" ht="12.95" customHeight="1">
      <c r="A1085" s="1"/>
      <c r="B1085" s="1"/>
      <c r="C1085" s="1438"/>
      <c r="D1085" s="1438"/>
      <c r="E1085" s="1777"/>
      <c r="F1085" s="1777"/>
      <c r="G1085" s="1777"/>
      <c r="H1085" s="1777"/>
      <c r="I1085" s="1777"/>
      <c r="J1085" s="1777"/>
      <c r="K1085" s="1777"/>
      <c r="L1085" s="1777"/>
      <c r="M1085" s="1777"/>
      <c r="N1085" s="1777"/>
      <c r="O1085" s="1777"/>
      <c r="P1085" s="1777"/>
      <c r="Q1085" s="1777"/>
      <c r="R1085" s="1777"/>
      <c r="S1085" s="1777"/>
      <c r="T1085" s="1777"/>
      <c r="U1085" s="1777"/>
      <c r="V1085" s="1777"/>
      <c r="W1085" s="1777"/>
      <c r="X1085" s="1777"/>
      <c r="Y1085" s="1777"/>
      <c r="Z1085" s="1777"/>
      <c r="AA1085" s="1777"/>
      <c r="AB1085" s="1777"/>
      <c r="AC1085" s="1777"/>
      <c r="AD1085" s="1777"/>
      <c r="AE1085" s="1777"/>
      <c r="AF1085" s="1777"/>
      <c r="AG1085" s="1777"/>
      <c r="AH1085" s="1777"/>
      <c r="AI1085" s="1777"/>
      <c r="AJ1085" s="1777"/>
      <c r="AK1085" s="1777"/>
      <c r="AL1085" s="1777"/>
      <c r="AM1085" s="1777"/>
      <c r="AN1085" s="1777"/>
      <c r="AO1085" s="1777"/>
      <c r="AP1085" s="1777"/>
      <c r="AQ1085" s="1777"/>
      <c r="AR1085" s="1777"/>
      <c r="AS1085" s="14"/>
      <c r="AT1085" s="68"/>
    </row>
    <row r="1086" spans="1:51" ht="12.95" customHeight="1">
      <c r="A1086" s="1"/>
      <c r="B1086" s="1"/>
      <c r="C1086" s="1438"/>
      <c r="D1086" s="1438"/>
      <c r="E1086" s="1777"/>
      <c r="F1086" s="1777"/>
      <c r="G1086" s="1777"/>
      <c r="H1086" s="1777"/>
      <c r="I1086" s="1777"/>
      <c r="J1086" s="1777"/>
      <c r="K1086" s="1777"/>
      <c r="L1086" s="1777"/>
      <c r="M1086" s="1777"/>
      <c r="N1086" s="1777"/>
      <c r="O1086" s="1777"/>
      <c r="P1086" s="1777"/>
      <c r="Q1086" s="1777"/>
      <c r="R1086" s="1777"/>
      <c r="S1086" s="1777"/>
      <c r="T1086" s="1777"/>
      <c r="U1086" s="1777"/>
      <c r="V1086" s="1777"/>
      <c r="W1086" s="1777"/>
      <c r="X1086" s="1777"/>
      <c r="Y1086" s="1777"/>
      <c r="Z1086" s="1777"/>
      <c r="AA1086" s="1777"/>
      <c r="AB1086" s="1777"/>
      <c r="AC1086" s="1777"/>
      <c r="AD1086" s="1777"/>
      <c r="AE1086" s="1777"/>
      <c r="AF1086" s="1777"/>
      <c r="AG1086" s="1777"/>
      <c r="AH1086" s="1777"/>
      <c r="AI1086" s="1777"/>
      <c r="AJ1086" s="1777"/>
      <c r="AK1086" s="1777"/>
      <c r="AL1086" s="1777"/>
      <c r="AM1086" s="1777"/>
      <c r="AN1086" s="1777"/>
      <c r="AO1086" s="1777"/>
      <c r="AP1086" s="1777"/>
      <c r="AQ1086" s="1777"/>
      <c r="AR1086" s="1777"/>
      <c r="AS1086" s="14"/>
      <c r="AT1086" s="68"/>
    </row>
    <row r="1087" spans="1:51" ht="12.95" customHeight="1">
      <c r="A1087" s="1"/>
      <c r="B1087" s="1"/>
      <c r="C1087" s="1438"/>
      <c r="D1087" s="1438"/>
      <c r="E1087" s="1777"/>
      <c r="F1087" s="1777"/>
      <c r="G1087" s="1777"/>
      <c r="H1087" s="1777"/>
      <c r="I1087" s="1777"/>
      <c r="J1087" s="1777"/>
      <c r="K1087" s="1777"/>
      <c r="L1087" s="1777"/>
      <c r="M1087" s="1777"/>
      <c r="N1087" s="1777"/>
      <c r="O1087" s="1777"/>
      <c r="P1087" s="1777"/>
      <c r="Q1087" s="1777"/>
      <c r="R1087" s="1777"/>
      <c r="S1087" s="1777"/>
      <c r="T1087" s="1777"/>
      <c r="U1087" s="1777"/>
      <c r="V1087" s="1777"/>
      <c r="W1087" s="1777"/>
      <c r="X1087" s="1777"/>
      <c r="Y1087" s="1777"/>
      <c r="Z1087" s="1777"/>
      <c r="AA1087" s="1777"/>
      <c r="AB1087" s="1777"/>
      <c r="AC1087" s="1777"/>
      <c r="AD1087" s="1777"/>
      <c r="AE1087" s="1777"/>
      <c r="AF1087" s="1777"/>
      <c r="AG1087" s="1777"/>
      <c r="AH1087" s="1777"/>
      <c r="AI1087" s="1777"/>
      <c r="AJ1087" s="1777"/>
      <c r="AK1087" s="1777"/>
      <c r="AL1087" s="1777"/>
      <c r="AM1087" s="1777"/>
      <c r="AN1087" s="1777"/>
      <c r="AO1087" s="1777"/>
      <c r="AP1087" s="1777"/>
      <c r="AQ1087" s="1777"/>
      <c r="AR1087" s="1777"/>
      <c r="AS1087" s="14"/>
      <c r="AT1087" s="68"/>
    </row>
    <row r="1088" spans="1:51" ht="12.95" customHeight="1">
      <c r="A1088" s="1"/>
      <c r="B1088" s="1"/>
      <c r="C1088" s="1438"/>
      <c r="D1088" s="1438"/>
      <c r="E1088" s="1777"/>
      <c r="F1088" s="1777"/>
      <c r="G1088" s="1777"/>
      <c r="H1088" s="1777"/>
      <c r="I1088" s="1777"/>
      <c r="J1088" s="1777"/>
      <c r="K1088" s="1777"/>
      <c r="L1088" s="1777"/>
      <c r="M1088" s="1777"/>
      <c r="N1088" s="1777"/>
      <c r="O1088" s="1777"/>
      <c r="P1088" s="1777"/>
      <c r="Q1088" s="1777"/>
      <c r="R1088" s="1777"/>
      <c r="S1088" s="1777"/>
      <c r="T1088" s="1777"/>
      <c r="U1088" s="1777"/>
      <c r="V1088" s="1777"/>
      <c r="W1088" s="1777"/>
      <c r="X1088" s="1777"/>
      <c r="Y1088" s="1777"/>
      <c r="Z1088" s="1777"/>
      <c r="AA1088" s="1777"/>
      <c r="AB1088" s="1777"/>
      <c r="AC1088" s="1777"/>
      <c r="AD1088" s="1777"/>
      <c r="AE1088" s="1777"/>
      <c r="AF1088" s="1777"/>
      <c r="AG1088" s="1777"/>
      <c r="AH1088" s="1777"/>
      <c r="AI1088" s="1777"/>
      <c r="AJ1088" s="1777"/>
      <c r="AK1088" s="1777"/>
      <c r="AL1088" s="1777"/>
      <c r="AM1088" s="1777"/>
      <c r="AN1088" s="1777"/>
      <c r="AO1088" s="1777"/>
      <c r="AP1088" s="1777"/>
      <c r="AQ1088" s="1777"/>
      <c r="AR1088" s="1777"/>
      <c r="AS1088" s="14"/>
      <c r="AT1088" s="68"/>
    </row>
    <row r="1089" spans="1:45" ht="12.95" customHeight="1">
      <c r="A1089" s="1"/>
      <c r="B1089" s="1"/>
      <c r="C1089" s="1438"/>
      <c r="D1089" s="1438"/>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269" t="s">
        <v>591</v>
      </c>
      <c r="B1090" s="1269"/>
      <c r="C1090" s="1438">
        <v>5</v>
      </c>
      <c r="D1090" s="1438"/>
      <c r="E1090" s="1777" t="s">
        <v>2194</v>
      </c>
      <c r="F1090" s="1777"/>
      <c r="G1090" s="1777"/>
      <c r="H1090" s="1777"/>
      <c r="I1090" s="1777"/>
      <c r="J1090" s="1777"/>
      <c r="K1090" s="1777"/>
      <c r="L1090" s="1777"/>
      <c r="M1090" s="1777"/>
      <c r="N1090" s="1777"/>
      <c r="O1090" s="1777"/>
      <c r="P1090" s="1777"/>
      <c r="Q1090" s="1777"/>
      <c r="R1090" s="1777"/>
      <c r="S1090" s="1777"/>
      <c r="T1090" s="1777"/>
      <c r="U1090" s="1777"/>
      <c r="V1090" s="1777"/>
      <c r="W1090" s="1777"/>
      <c r="X1090" s="1777"/>
      <c r="Y1090" s="1777"/>
      <c r="Z1090" s="1777"/>
      <c r="AA1090" s="1777"/>
      <c r="AB1090" s="1777"/>
      <c r="AC1090" s="1777"/>
      <c r="AD1090" s="1777"/>
      <c r="AE1090" s="1777"/>
      <c r="AF1090" s="1777"/>
      <c r="AG1090" s="1777"/>
      <c r="AH1090" s="1777"/>
      <c r="AI1090" s="1777"/>
      <c r="AJ1090" s="1777"/>
      <c r="AK1090" s="1777"/>
      <c r="AL1090" s="1777"/>
      <c r="AM1090" s="1777"/>
      <c r="AN1090" s="1777"/>
      <c r="AO1090" s="1777"/>
      <c r="AP1090" s="1777"/>
      <c r="AQ1090" s="1777"/>
      <c r="AR1090" s="1777"/>
      <c r="AS1090" s="14"/>
    </row>
    <row r="1091" spans="1:45" ht="12.95" customHeight="1">
      <c r="A1091" s="4"/>
      <c r="B1091" s="4"/>
      <c r="C1091" s="1438"/>
      <c r="D1091" s="1438"/>
      <c r="E1091" s="1777"/>
      <c r="F1091" s="1777"/>
      <c r="G1091" s="1777"/>
      <c r="H1091" s="1777"/>
      <c r="I1091" s="1777"/>
      <c r="J1091" s="1777"/>
      <c r="K1091" s="1777"/>
      <c r="L1091" s="1777"/>
      <c r="M1091" s="1777"/>
      <c r="N1091" s="1777"/>
      <c r="O1091" s="1777"/>
      <c r="P1091" s="1777"/>
      <c r="Q1091" s="1777"/>
      <c r="R1091" s="1777"/>
      <c r="S1091" s="1777"/>
      <c r="T1091" s="1777"/>
      <c r="U1091" s="1777"/>
      <c r="V1091" s="1777"/>
      <c r="W1091" s="1777"/>
      <c r="X1091" s="1777"/>
      <c r="Y1091" s="1777"/>
      <c r="Z1091" s="1777"/>
      <c r="AA1091" s="1777"/>
      <c r="AB1091" s="1777"/>
      <c r="AC1091" s="1777"/>
      <c r="AD1091" s="1777"/>
      <c r="AE1091" s="1777"/>
      <c r="AF1091" s="1777"/>
      <c r="AG1091" s="1777"/>
      <c r="AH1091" s="1777"/>
      <c r="AI1091" s="1777"/>
      <c r="AJ1091" s="1777"/>
      <c r="AK1091" s="1777"/>
      <c r="AL1091" s="1777"/>
      <c r="AM1091" s="1777"/>
      <c r="AN1091" s="1777"/>
      <c r="AO1091" s="1777"/>
      <c r="AP1091" s="1777"/>
      <c r="AQ1091" s="1777"/>
      <c r="AR1091" s="1777"/>
      <c r="AS1091" s="14"/>
    </row>
    <row r="1092" spans="1:45" ht="12.95" customHeight="1">
      <c r="A1092" s="4"/>
      <c r="B1092" s="4"/>
      <c r="C1092" s="1438"/>
      <c r="D1092" s="1438"/>
      <c r="E1092" s="1777"/>
      <c r="F1092" s="1777"/>
      <c r="G1092" s="1777"/>
      <c r="H1092" s="1777"/>
      <c r="I1092" s="1777"/>
      <c r="J1092" s="1777"/>
      <c r="K1092" s="1777"/>
      <c r="L1092" s="1777"/>
      <c r="M1092" s="1777"/>
      <c r="N1092" s="1777"/>
      <c r="O1092" s="1777"/>
      <c r="P1092" s="1777"/>
      <c r="Q1092" s="1777"/>
      <c r="R1092" s="1777"/>
      <c r="S1092" s="1777"/>
      <c r="T1092" s="1777"/>
      <c r="U1092" s="1777"/>
      <c r="V1092" s="1777"/>
      <c r="W1092" s="1777"/>
      <c r="X1092" s="1777"/>
      <c r="Y1092" s="1777"/>
      <c r="Z1092" s="1777"/>
      <c r="AA1092" s="1777"/>
      <c r="AB1092" s="1777"/>
      <c r="AC1092" s="1777"/>
      <c r="AD1092" s="1777"/>
      <c r="AE1092" s="1777"/>
      <c r="AF1092" s="1777"/>
      <c r="AG1092" s="1777"/>
      <c r="AH1092" s="1777"/>
      <c r="AI1092" s="1777"/>
      <c r="AJ1092" s="1777"/>
      <c r="AK1092" s="1777"/>
      <c r="AL1092" s="1777"/>
      <c r="AM1092" s="1777"/>
      <c r="AN1092" s="1777"/>
      <c r="AO1092" s="1777"/>
      <c r="AP1092" s="1777"/>
      <c r="AQ1092" s="1777"/>
      <c r="AR1092" s="1777"/>
      <c r="AS1092" s="14"/>
    </row>
    <row r="1093" spans="1:45" ht="12.95" customHeight="1">
      <c r="A1093" s="35"/>
      <c r="B1093" s="25"/>
      <c r="C1093" s="1438"/>
      <c r="D1093" s="143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269" t="s">
        <v>591</v>
      </c>
      <c r="B1094" s="1269"/>
      <c r="C1094" s="1438">
        <v>6</v>
      </c>
      <c r="D1094" s="1438"/>
      <c r="E1094" s="1777" t="s">
        <v>2195</v>
      </c>
      <c r="F1094" s="1777"/>
      <c r="G1094" s="1777"/>
      <c r="H1094" s="1777"/>
      <c r="I1094" s="1777"/>
      <c r="J1094" s="1777"/>
      <c r="K1094" s="1777"/>
      <c r="L1094" s="1777"/>
      <c r="M1094" s="1777"/>
      <c r="N1094" s="1777"/>
      <c r="O1094" s="1777"/>
      <c r="P1094" s="1777"/>
      <c r="Q1094" s="1777"/>
      <c r="R1094" s="1777"/>
      <c r="S1094" s="1777"/>
      <c r="T1094" s="1777"/>
      <c r="U1094" s="1777"/>
      <c r="V1094" s="1777"/>
      <c r="W1094" s="1777"/>
      <c r="X1094" s="1777"/>
      <c r="Y1094" s="1777"/>
      <c r="Z1094" s="1777"/>
      <c r="AA1094" s="1777"/>
      <c r="AB1094" s="1777"/>
      <c r="AC1094" s="1777"/>
      <c r="AD1094" s="1777"/>
      <c r="AE1094" s="1777"/>
      <c r="AF1094" s="1777"/>
      <c r="AG1094" s="1777"/>
      <c r="AH1094" s="1777"/>
      <c r="AI1094" s="1777"/>
      <c r="AJ1094" s="1777"/>
      <c r="AK1094" s="1777"/>
      <c r="AL1094" s="1777"/>
      <c r="AM1094" s="1777"/>
      <c r="AN1094" s="1777"/>
      <c r="AO1094" s="1777"/>
      <c r="AP1094" s="1777"/>
      <c r="AQ1094" s="1777"/>
      <c r="AR1094" s="1777"/>
      <c r="AS1094" s="14"/>
    </row>
    <row r="1095" spans="1:45" ht="12.95" customHeight="1">
      <c r="A1095" s="1"/>
      <c r="B1095" s="1"/>
      <c r="C1095" s="1"/>
      <c r="D1095" s="1"/>
      <c r="E1095" s="1777"/>
      <c r="F1095" s="1777"/>
      <c r="G1095" s="1777"/>
      <c r="H1095" s="1777"/>
      <c r="I1095" s="1777"/>
      <c r="J1095" s="1777"/>
      <c r="K1095" s="1777"/>
      <c r="L1095" s="1777"/>
      <c r="M1095" s="1777"/>
      <c r="N1095" s="1777"/>
      <c r="O1095" s="1777"/>
      <c r="P1095" s="1777"/>
      <c r="Q1095" s="1777"/>
      <c r="R1095" s="1777"/>
      <c r="S1095" s="1777"/>
      <c r="T1095" s="1777"/>
      <c r="U1095" s="1777"/>
      <c r="V1095" s="1777"/>
      <c r="W1095" s="1777"/>
      <c r="X1095" s="1777"/>
      <c r="Y1095" s="1777"/>
      <c r="Z1095" s="1777"/>
      <c r="AA1095" s="1777"/>
      <c r="AB1095" s="1777"/>
      <c r="AC1095" s="1777"/>
      <c r="AD1095" s="1777"/>
      <c r="AE1095" s="1777"/>
      <c r="AF1095" s="1777"/>
      <c r="AG1095" s="1777"/>
      <c r="AH1095" s="1777"/>
      <c r="AI1095" s="1777"/>
      <c r="AJ1095" s="1777"/>
      <c r="AK1095" s="1777"/>
      <c r="AL1095" s="1777"/>
      <c r="AM1095" s="1777"/>
      <c r="AN1095" s="1777"/>
      <c r="AO1095" s="1777"/>
      <c r="AP1095" s="1777"/>
      <c r="AQ1095" s="1777"/>
      <c r="AR1095" s="1777"/>
      <c r="AS1095" s="14"/>
    </row>
    <row r="1096" spans="1:45" ht="12.95" customHeight="1">
      <c r="A1096" s="1"/>
      <c r="B1096" s="1"/>
      <c r="C1096" s="1438"/>
      <c r="D1096" s="1438"/>
      <c r="E1096" s="1777"/>
      <c r="F1096" s="1777"/>
      <c r="G1096" s="1777"/>
      <c r="H1096" s="1777"/>
      <c r="I1096" s="1777"/>
      <c r="J1096" s="1777"/>
      <c r="K1096" s="1777"/>
      <c r="L1096" s="1777"/>
      <c r="M1096" s="1777"/>
      <c r="N1096" s="1777"/>
      <c r="O1096" s="1777"/>
      <c r="P1096" s="1777"/>
      <c r="Q1096" s="1777"/>
      <c r="R1096" s="1777"/>
      <c r="S1096" s="1777"/>
      <c r="T1096" s="1777"/>
      <c r="U1096" s="1777"/>
      <c r="V1096" s="1777"/>
      <c r="W1096" s="1777"/>
      <c r="X1096" s="1777"/>
      <c r="Y1096" s="1777"/>
      <c r="Z1096" s="1777"/>
      <c r="AA1096" s="1777"/>
      <c r="AB1096" s="1777"/>
      <c r="AC1096" s="1777"/>
      <c r="AD1096" s="1777"/>
      <c r="AE1096" s="1777"/>
      <c r="AF1096" s="1777"/>
      <c r="AG1096" s="1777"/>
      <c r="AH1096" s="1777"/>
      <c r="AI1096" s="1777"/>
      <c r="AJ1096" s="1777"/>
      <c r="AK1096" s="1777"/>
      <c r="AL1096" s="1777"/>
      <c r="AM1096" s="1777"/>
      <c r="AN1096" s="1777"/>
      <c r="AO1096" s="1777"/>
      <c r="AP1096" s="1777"/>
      <c r="AQ1096" s="1777"/>
      <c r="AR1096" s="1777"/>
      <c r="AS1096" s="14"/>
    </row>
    <row r="1097" spans="1:45" ht="12.95" customHeight="1">
      <c r="A1097" s="35"/>
      <c r="B1097" s="25"/>
      <c r="C1097" s="1438"/>
      <c r="D1097" s="1438"/>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269" t="s">
        <v>591</v>
      </c>
      <c r="B1098" s="1269"/>
      <c r="C1098" s="1438">
        <v>7</v>
      </c>
      <c r="D1098" s="1438"/>
      <c r="E1098" s="1777" t="s">
        <v>2093</v>
      </c>
      <c r="F1098" s="1777"/>
      <c r="G1098" s="1777"/>
      <c r="H1098" s="1777"/>
      <c r="I1098" s="1777"/>
      <c r="J1098" s="1777"/>
      <c r="K1098" s="1777"/>
      <c r="L1098" s="1777"/>
      <c r="M1098" s="1777"/>
      <c r="N1098" s="1777"/>
      <c r="O1098" s="1777"/>
      <c r="P1098" s="1777"/>
      <c r="Q1098" s="1777"/>
      <c r="R1098" s="1777"/>
      <c r="S1098" s="1777"/>
      <c r="T1098" s="1777"/>
      <c r="U1098" s="1777"/>
      <c r="V1098" s="1777"/>
      <c r="W1098" s="1777"/>
      <c r="X1098" s="1777"/>
      <c r="Y1098" s="1777"/>
      <c r="Z1098" s="1777"/>
      <c r="AA1098" s="1777"/>
      <c r="AB1098" s="1777"/>
      <c r="AC1098" s="1777"/>
      <c r="AD1098" s="1777"/>
      <c r="AE1098" s="1777"/>
      <c r="AF1098" s="1777"/>
      <c r="AG1098" s="1777"/>
      <c r="AH1098" s="1777"/>
      <c r="AI1098" s="1777"/>
      <c r="AJ1098" s="1777"/>
      <c r="AK1098" s="1777"/>
      <c r="AL1098" s="1777"/>
      <c r="AM1098" s="1777"/>
      <c r="AN1098" s="1777"/>
      <c r="AO1098" s="1777"/>
      <c r="AP1098" s="1777"/>
      <c r="AQ1098" s="1777"/>
      <c r="AR1098" s="1777"/>
      <c r="AS1098" s="14"/>
    </row>
    <row r="1099" spans="1:45" ht="12.95" customHeight="1">
      <c r="A1099" s="1"/>
      <c r="B1099" s="1"/>
      <c r="C1099" s="1438"/>
      <c r="D1099" s="1438"/>
      <c r="E1099" s="1777"/>
      <c r="F1099" s="1777"/>
      <c r="G1099" s="1777"/>
      <c r="H1099" s="1777"/>
      <c r="I1099" s="1777"/>
      <c r="J1099" s="1777"/>
      <c r="K1099" s="1777"/>
      <c r="L1099" s="1777"/>
      <c r="M1099" s="1777"/>
      <c r="N1099" s="1777"/>
      <c r="O1099" s="1777"/>
      <c r="P1099" s="1777"/>
      <c r="Q1099" s="1777"/>
      <c r="R1099" s="1777"/>
      <c r="S1099" s="1777"/>
      <c r="T1099" s="1777"/>
      <c r="U1099" s="1777"/>
      <c r="V1099" s="1777"/>
      <c r="W1099" s="1777"/>
      <c r="X1099" s="1777"/>
      <c r="Y1099" s="1777"/>
      <c r="Z1099" s="1777"/>
      <c r="AA1099" s="1777"/>
      <c r="AB1099" s="1777"/>
      <c r="AC1099" s="1777"/>
      <c r="AD1099" s="1777"/>
      <c r="AE1099" s="1777"/>
      <c r="AF1099" s="1777"/>
      <c r="AG1099" s="1777"/>
      <c r="AH1099" s="1777"/>
      <c r="AI1099" s="1777"/>
      <c r="AJ1099" s="1777"/>
      <c r="AK1099" s="1777"/>
      <c r="AL1099" s="1777"/>
      <c r="AM1099" s="1777"/>
      <c r="AN1099" s="1777"/>
      <c r="AO1099" s="1777"/>
      <c r="AP1099" s="1777"/>
      <c r="AQ1099" s="1777"/>
      <c r="AR1099" s="1777"/>
      <c r="AS1099" s="14"/>
    </row>
    <row r="1100" spans="1:45" ht="12.95" customHeight="1">
      <c r="A1100" s="1"/>
      <c r="B1100" s="1"/>
      <c r="C1100" s="1438"/>
      <c r="D1100" s="1438"/>
      <c r="E1100" s="1777"/>
      <c r="F1100" s="1777"/>
      <c r="G1100" s="1777"/>
      <c r="H1100" s="1777"/>
      <c r="I1100" s="1777"/>
      <c r="J1100" s="1777"/>
      <c r="K1100" s="1777"/>
      <c r="L1100" s="1777"/>
      <c r="M1100" s="1777"/>
      <c r="N1100" s="1777"/>
      <c r="O1100" s="1777"/>
      <c r="P1100" s="1777"/>
      <c r="Q1100" s="1777"/>
      <c r="R1100" s="1777"/>
      <c r="S1100" s="1777"/>
      <c r="T1100" s="1777"/>
      <c r="U1100" s="1777"/>
      <c r="V1100" s="1777"/>
      <c r="W1100" s="1777"/>
      <c r="X1100" s="1777"/>
      <c r="Y1100" s="1777"/>
      <c r="Z1100" s="1777"/>
      <c r="AA1100" s="1777"/>
      <c r="AB1100" s="1777"/>
      <c r="AC1100" s="1777"/>
      <c r="AD1100" s="1777"/>
      <c r="AE1100" s="1777"/>
      <c r="AF1100" s="1777"/>
      <c r="AG1100" s="1777"/>
      <c r="AH1100" s="1777"/>
      <c r="AI1100" s="1777"/>
      <c r="AJ1100" s="1777"/>
      <c r="AK1100" s="1777"/>
      <c r="AL1100" s="1777"/>
      <c r="AM1100" s="1777"/>
      <c r="AN1100" s="1777"/>
      <c r="AO1100" s="1777"/>
      <c r="AP1100" s="1777"/>
      <c r="AQ1100" s="1777"/>
      <c r="AR1100" s="1777"/>
      <c r="AS1100" s="14"/>
    </row>
    <row r="1101" spans="1:45" ht="12.95" customHeight="1">
      <c r="A1101" s="1"/>
      <c r="B1101" s="1"/>
      <c r="C1101" s="1438"/>
      <c r="D1101" s="1438"/>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38"/>
      <c r="D1102" s="1438"/>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269" t="s">
        <v>591</v>
      </c>
      <c r="B1103" s="1269"/>
      <c r="C1103" s="1438">
        <v>8</v>
      </c>
      <c r="D1103" s="1438"/>
      <c r="E1103" s="1777" t="s">
        <v>1073</v>
      </c>
      <c r="F1103" s="1777"/>
      <c r="G1103" s="1777"/>
      <c r="H1103" s="1777"/>
      <c r="I1103" s="1777"/>
      <c r="J1103" s="1777"/>
      <c r="K1103" s="1777"/>
      <c r="L1103" s="1777"/>
      <c r="M1103" s="1777"/>
      <c r="N1103" s="1777"/>
      <c r="O1103" s="1777"/>
      <c r="P1103" s="1777"/>
      <c r="Q1103" s="1777"/>
      <c r="R1103" s="1777"/>
      <c r="S1103" s="1777"/>
      <c r="T1103" s="1777"/>
      <c r="U1103" s="1777"/>
      <c r="V1103" s="1777"/>
      <c r="W1103" s="1777"/>
      <c r="X1103" s="1777"/>
      <c r="Y1103" s="1777"/>
      <c r="Z1103" s="1777"/>
      <c r="AA1103" s="1777"/>
      <c r="AB1103" s="1777"/>
      <c r="AC1103" s="1777"/>
      <c r="AD1103" s="1777"/>
      <c r="AE1103" s="1777"/>
      <c r="AF1103" s="1777"/>
      <c r="AG1103" s="1777"/>
      <c r="AH1103" s="1777"/>
      <c r="AI1103" s="1777"/>
      <c r="AJ1103" s="1777"/>
      <c r="AK1103" s="1777"/>
      <c r="AL1103" s="1777"/>
      <c r="AM1103" s="1777"/>
      <c r="AN1103" s="1777"/>
      <c r="AO1103" s="1777"/>
      <c r="AP1103" s="1777"/>
      <c r="AQ1103" s="1777"/>
      <c r="AR1103" s="1777"/>
    </row>
    <row r="1104" spans="1:45" ht="12.95" customHeight="1">
      <c r="A1104" s="35"/>
      <c r="B1104" s="25"/>
      <c r="C1104" s="1438"/>
      <c r="D1104" s="1438"/>
      <c r="E1104" s="1777"/>
      <c r="F1104" s="1777"/>
      <c r="G1104" s="1777"/>
      <c r="H1104" s="1777"/>
      <c r="I1104" s="1777"/>
      <c r="J1104" s="1777"/>
      <c r="K1104" s="1777"/>
      <c r="L1104" s="1777"/>
      <c r="M1104" s="1777"/>
      <c r="N1104" s="1777"/>
      <c r="O1104" s="1777"/>
      <c r="P1104" s="1777"/>
      <c r="Q1104" s="1777"/>
      <c r="R1104" s="1777"/>
      <c r="S1104" s="1777"/>
      <c r="T1104" s="1777"/>
      <c r="U1104" s="1777"/>
      <c r="V1104" s="1777"/>
      <c r="W1104" s="1777"/>
      <c r="X1104" s="1777"/>
      <c r="Y1104" s="1777"/>
      <c r="Z1104" s="1777"/>
      <c r="AA1104" s="1777"/>
      <c r="AB1104" s="1777"/>
      <c r="AC1104" s="1777"/>
      <c r="AD1104" s="1777"/>
      <c r="AE1104" s="1777"/>
      <c r="AF1104" s="1777"/>
      <c r="AG1104" s="1777"/>
      <c r="AH1104" s="1777"/>
      <c r="AI1104" s="1777"/>
      <c r="AJ1104" s="1777"/>
      <c r="AK1104" s="1777"/>
      <c r="AL1104" s="1777"/>
      <c r="AM1104" s="1777"/>
      <c r="AN1104" s="1777"/>
      <c r="AO1104" s="1777"/>
      <c r="AP1104" s="1777"/>
      <c r="AQ1104" s="1777"/>
      <c r="AR1104" s="1777"/>
    </row>
    <row r="1105" spans="1:44" ht="12.95" customHeight="1">
      <c r="A1105" s="35"/>
      <c r="B1105" s="25"/>
      <c r="C1105" s="1438"/>
      <c r="D1105" s="1438"/>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269" t="s">
        <v>591</v>
      </c>
      <c r="B1106" s="1269"/>
      <c r="C1106" s="1798">
        <v>9</v>
      </c>
      <c r="D1106" s="1798"/>
      <c r="E1106" s="1777" t="s">
        <v>1075</v>
      </c>
      <c r="F1106" s="1777"/>
      <c r="G1106" s="1777"/>
      <c r="H1106" s="1777"/>
      <c r="I1106" s="1777"/>
      <c r="J1106" s="1777"/>
      <c r="K1106" s="1777"/>
      <c r="L1106" s="1777"/>
      <c r="M1106" s="1777"/>
      <c r="N1106" s="1777"/>
      <c r="O1106" s="1777"/>
      <c r="P1106" s="1777"/>
      <c r="Q1106" s="1777"/>
      <c r="R1106" s="1777"/>
      <c r="S1106" s="1777"/>
      <c r="T1106" s="1777"/>
      <c r="U1106" s="1777"/>
      <c r="V1106" s="1777"/>
      <c r="W1106" s="1777"/>
      <c r="X1106" s="1777"/>
      <c r="Y1106" s="1777"/>
      <c r="Z1106" s="1777"/>
      <c r="AA1106" s="1777"/>
      <c r="AB1106" s="1777"/>
      <c r="AC1106" s="1777"/>
      <c r="AD1106" s="1777"/>
      <c r="AE1106" s="1777"/>
      <c r="AF1106" s="1777"/>
      <c r="AG1106" s="1777"/>
      <c r="AH1106" s="1777"/>
      <c r="AI1106" s="1777"/>
      <c r="AJ1106" s="1777"/>
      <c r="AK1106" s="1777"/>
      <c r="AL1106" s="1777"/>
      <c r="AM1106" s="1777"/>
      <c r="AN1106" s="1777"/>
      <c r="AO1106" s="1777"/>
      <c r="AP1106" s="1777"/>
      <c r="AQ1106" s="1777"/>
      <c r="AR1106" s="1777"/>
    </row>
    <row r="1107" spans="1:44" ht="12.95" customHeight="1">
      <c r="A1107" s="1"/>
      <c r="B1107" s="1"/>
      <c r="C1107" s="1798"/>
      <c r="D1107" s="1798"/>
      <c r="E1107" s="1777"/>
      <c r="F1107" s="1777"/>
      <c r="G1107" s="1777"/>
      <c r="H1107" s="1777"/>
      <c r="I1107" s="1777"/>
      <c r="J1107" s="1777"/>
      <c r="K1107" s="1777"/>
      <c r="L1107" s="1777"/>
      <c r="M1107" s="1777"/>
      <c r="N1107" s="1777"/>
      <c r="O1107" s="1777"/>
      <c r="P1107" s="1777"/>
      <c r="Q1107" s="1777"/>
      <c r="R1107" s="1777"/>
      <c r="S1107" s="1777"/>
      <c r="T1107" s="1777"/>
      <c r="U1107" s="1777"/>
      <c r="V1107" s="1777"/>
      <c r="W1107" s="1777"/>
      <c r="X1107" s="1777"/>
      <c r="Y1107" s="1777"/>
      <c r="Z1107" s="1777"/>
      <c r="AA1107" s="1777"/>
      <c r="AB1107" s="1777"/>
      <c r="AC1107" s="1777"/>
      <c r="AD1107" s="1777"/>
      <c r="AE1107" s="1777"/>
      <c r="AF1107" s="1777"/>
      <c r="AG1107" s="1777"/>
      <c r="AH1107" s="1777"/>
      <c r="AI1107" s="1777"/>
      <c r="AJ1107" s="1777"/>
      <c r="AK1107" s="1777"/>
      <c r="AL1107" s="1777"/>
      <c r="AM1107" s="1777"/>
      <c r="AN1107" s="1777"/>
      <c r="AO1107" s="1777"/>
      <c r="AP1107" s="1777"/>
      <c r="AQ1107" s="1777"/>
      <c r="AR1107" s="1777"/>
    </row>
    <row r="1108" spans="1:44" ht="12.95" customHeight="1">
      <c r="A1108" s="35"/>
      <c r="B1108" s="25"/>
      <c r="C1108" s="1798"/>
      <c r="D1108" s="1798"/>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269" t="s">
        <v>591</v>
      </c>
      <c r="B1109" s="1269"/>
      <c r="C1109" s="1798">
        <v>10</v>
      </c>
      <c r="D1109" s="1798"/>
      <c r="E1109" s="1799" t="s">
        <v>2192</v>
      </c>
      <c r="F1109" s="1799"/>
      <c r="G1109" s="1799"/>
      <c r="H1109" s="1799"/>
      <c r="I1109" s="1799"/>
      <c r="J1109" s="1799"/>
      <c r="K1109" s="1799"/>
      <c r="L1109" s="1799"/>
      <c r="M1109" s="1799"/>
      <c r="N1109" s="1799"/>
      <c r="O1109" s="1799"/>
      <c r="P1109" s="1799"/>
      <c r="Q1109" s="1799"/>
      <c r="R1109" s="1799"/>
      <c r="S1109" s="1799"/>
      <c r="T1109" s="1799"/>
      <c r="U1109" s="1799"/>
      <c r="V1109" s="1799"/>
      <c r="W1109" s="1799"/>
      <c r="X1109" s="1799"/>
      <c r="Y1109" s="1799"/>
      <c r="Z1109" s="1799"/>
      <c r="AA1109" s="1799"/>
      <c r="AB1109" s="1799"/>
      <c r="AC1109" s="1799"/>
      <c r="AD1109" s="1799"/>
      <c r="AE1109" s="1799"/>
      <c r="AF1109" s="1799"/>
      <c r="AG1109" s="1799"/>
      <c r="AH1109" s="1799"/>
      <c r="AI1109" s="1799"/>
      <c r="AJ1109" s="1799"/>
      <c r="AK1109" s="1799"/>
      <c r="AL1109" s="1799"/>
      <c r="AM1109" s="1799"/>
      <c r="AN1109" s="1799"/>
      <c r="AO1109" s="1799"/>
      <c r="AP1109" s="1799"/>
      <c r="AQ1109" s="1799"/>
      <c r="AR1109" s="1799"/>
    </row>
    <row r="1110" spans="1:44" ht="12.95" customHeight="1">
      <c r="A1110" s="1"/>
      <c r="B1110" s="1"/>
      <c r="C1110" s="199"/>
      <c r="D1110" s="1154"/>
      <c r="E1110" s="1799"/>
      <c r="F1110" s="1799"/>
      <c r="G1110" s="1799"/>
      <c r="H1110" s="1799"/>
      <c r="I1110" s="1799"/>
      <c r="J1110" s="1799"/>
      <c r="K1110" s="1799"/>
      <c r="L1110" s="1799"/>
      <c r="M1110" s="1799"/>
      <c r="N1110" s="1799"/>
      <c r="O1110" s="1799"/>
      <c r="P1110" s="1799"/>
      <c r="Q1110" s="1799"/>
      <c r="R1110" s="1799"/>
      <c r="S1110" s="1799"/>
      <c r="T1110" s="1799"/>
      <c r="U1110" s="1799"/>
      <c r="V1110" s="1799"/>
      <c r="W1110" s="1799"/>
      <c r="X1110" s="1799"/>
      <c r="Y1110" s="1799"/>
      <c r="Z1110" s="1799"/>
      <c r="AA1110" s="1799"/>
      <c r="AB1110" s="1799"/>
      <c r="AC1110" s="1799"/>
      <c r="AD1110" s="1799"/>
      <c r="AE1110" s="1799"/>
      <c r="AF1110" s="1799"/>
      <c r="AG1110" s="1799"/>
      <c r="AH1110" s="1799"/>
      <c r="AI1110" s="1799"/>
      <c r="AJ1110" s="1799"/>
      <c r="AK1110" s="1799"/>
      <c r="AL1110" s="1799"/>
      <c r="AM1110" s="1799"/>
      <c r="AN1110" s="1799"/>
      <c r="AO1110" s="1799"/>
      <c r="AP1110" s="1799"/>
      <c r="AQ1110" s="1799"/>
      <c r="AR1110" s="1799"/>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269" t="s">
        <v>591</v>
      </c>
      <c r="B1112" s="1269"/>
      <c r="C1112" s="1798">
        <v>11</v>
      </c>
      <c r="D1112" s="1798"/>
      <c r="E1112" s="1799" t="s">
        <v>2193</v>
      </c>
      <c r="F1112" s="1799"/>
      <c r="G1112" s="1799"/>
      <c r="H1112" s="1799"/>
      <c r="I1112" s="1799"/>
      <c r="J1112" s="1799"/>
      <c r="K1112" s="1799"/>
      <c r="L1112" s="1799"/>
      <c r="M1112" s="1799"/>
      <c r="N1112" s="1799"/>
      <c r="O1112" s="1799"/>
      <c r="P1112" s="1799"/>
      <c r="Q1112" s="1799"/>
      <c r="R1112" s="1799"/>
      <c r="S1112" s="1799"/>
      <c r="T1112" s="1799"/>
      <c r="U1112" s="1799"/>
      <c r="V1112" s="1799"/>
      <c r="W1112" s="1799"/>
      <c r="X1112" s="1799"/>
      <c r="Y1112" s="1799"/>
      <c r="Z1112" s="1799"/>
      <c r="AA1112" s="1799"/>
      <c r="AB1112" s="1799"/>
      <c r="AC1112" s="1799"/>
      <c r="AD1112" s="1799"/>
      <c r="AE1112" s="1799"/>
      <c r="AF1112" s="1799"/>
      <c r="AG1112" s="1799"/>
      <c r="AH1112" s="1799"/>
      <c r="AI1112" s="1799"/>
      <c r="AJ1112" s="1799"/>
      <c r="AK1112" s="1799"/>
      <c r="AL1112" s="1799"/>
      <c r="AM1112" s="1799"/>
      <c r="AN1112" s="1799"/>
      <c r="AO1112" s="1799"/>
      <c r="AP1112" s="1799"/>
      <c r="AQ1112" s="1799"/>
      <c r="AR1112" s="1799"/>
    </row>
    <row r="1113" spans="1:44" ht="12.95" customHeight="1">
      <c r="A1113" s="1"/>
      <c r="B1113" s="1"/>
      <c r="C1113" s="199"/>
      <c r="D1113" s="1154"/>
      <c r="E1113" s="1799"/>
      <c r="F1113" s="1799"/>
      <c r="G1113" s="1799"/>
      <c r="H1113" s="1799"/>
      <c r="I1113" s="1799"/>
      <c r="J1113" s="1799"/>
      <c r="K1113" s="1799"/>
      <c r="L1113" s="1799"/>
      <c r="M1113" s="1799"/>
      <c r="N1113" s="1799"/>
      <c r="O1113" s="1799"/>
      <c r="P1113" s="1799"/>
      <c r="Q1113" s="1799"/>
      <c r="R1113" s="1799"/>
      <c r="S1113" s="1799"/>
      <c r="T1113" s="1799"/>
      <c r="U1113" s="1799"/>
      <c r="V1113" s="1799"/>
      <c r="W1113" s="1799"/>
      <c r="X1113" s="1799"/>
      <c r="Y1113" s="1799"/>
      <c r="Z1113" s="1799"/>
      <c r="AA1113" s="1799"/>
      <c r="AB1113" s="1799"/>
      <c r="AC1113" s="1799"/>
      <c r="AD1113" s="1799"/>
      <c r="AE1113" s="1799"/>
      <c r="AF1113" s="1799"/>
      <c r="AG1113" s="1799"/>
      <c r="AH1113" s="1799"/>
      <c r="AI1113" s="1799"/>
      <c r="AJ1113" s="1799"/>
      <c r="AK1113" s="1799"/>
      <c r="AL1113" s="1799"/>
      <c r="AM1113" s="1799"/>
      <c r="AN1113" s="1799"/>
      <c r="AO1113" s="1799"/>
      <c r="AP1113" s="1799"/>
      <c r="AQ1113" s="1799"/>
      <c r="AR1113" s="1799"/>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69" t="s">
        <v>591</v>
      </c>
      <c r="B1134" s="1269"/>
      <c r="C1134" s="199">
        <v>9</v>
      </c>
      <c r="D1134" s="1484" t="s">
        <v>1074</v>
      </c>
      <c r="E1134" s="1484"/>
      <c r="F1134" s="1484"/>
      <c r="G1134" s="1484"/>
      <c r="H1134" s="1484"/>
      <c r="I1134" s="1484"/>
      <c r="J1134" s="1484"/>
      <c r="K1134" s="1484"/>
      <c r="L1134" s="1484"/>
      <c r="M1134" s="1484"/>
      <c r="N1134" s="1484"/>
      <c r="O1134" s="1484"/>
      <c r="P1134" s="1484"/>
      <c r="Q1134" s="1484"/>
      <c r="R1134" s="1484"/>
      <c r="S1134" s="1484"/>
      <c r="T1134" s="1484"/>
      <c r="U1134" s="1484"/>
      <c r="V1134" s="1484"/>
      <c r="W1134" s="1484"/>
      <c r="X1134" s="1484"/>
      <c r="Y1134" s="1484"/>
      <c r="Z1134" s="1484"/>
      <c r="AA1134" s="1484"/>
      <c r="AB1134" s="1484"/>
      <c r="AC1134" s="1484"/>
      <c r="AD1134" s="1484"/>
      <c r="AE1134" s="1484"/>
      <c r="AF1134" s="1484"/>
      <c r="AG1134" s="1484"/>
      <c r="AH1134" s="1484"/>
      <c r="AI1134" s="1484"/>
      <c r="AJ1134" s="1484"/>
      <c r="AK1134" s="1484"/>
    </row>
    <row r="1135" spans="1:37" ht="0" hidden="1" customHeight="1">
      <c r="A1135" s="35"/>
      <c r="B1135" s="25"/>
      <c r="C1135" s="199"/>
      <c r="D1135" s="1484"/>
      <c r="E1135" s="1484"/>
      <c r="F1135" s="1484"/>
      <c r="G1135" s="1484"/>
      <c r="H1135" s="1484"/>
      <c r="I1135" s="1484"/>
      <c r="J1135" s="1484"/>
      <c r="K1135" s="1484"/>
      <c r="L1135" s="1484"/>
      <c r="M1135" s="1484"/>
      <c r="N1135" s="1484"/>
      <c r="O1135" s="1484"/>
      <c r="P1135" s="1484"/>
      <c r="Q1135" s="1484"/>
      <c r="R1135" s="1484"/>
      <c r="S1135" s="1484"/>
      <c r="T1135" s="1484"/>
      <c r="U1135" s="1484"/>
      <c r="V1135" s="1484"/>
      <c r="W1135" s="1484"/>
      <c r="X1135" s="1484"/>
      <c r="Y1135" s="1484"/>
      <c r="Z1135" s="1484"/>
      <c r="AA1135" s="1484"/>
      <c r="AB1135" s="1484"/>
      <c r="AC1135" s="1484"/>
      <c r="AD1135" s="1484"/>
      <c r="AE1135" s="1484"/>
      <c r="AF1135" s="1484"/>
      <c r="AG1135" s="1484"/>
      <c r="AH1135" s="1484"/>
      <c r="AI1135" s="1484"/>
      <c r="AJ1135" s="1484"/>
      <c r="AK1135" s="1484"/>
    </row>
    <row r="1136" spans="1:37" ht="0" hidden="1" customHeight="1">
      <c r="D1136" s="1484"/>
      <c r="E1136" s="1484"/>
      <c r="F1136" s="1484"/>
      <c r="G1136" s="1484"/>
      <c r="H1136" s="1484"/>
      <c r="I1136" s="1484"/>
      <c r="J1136" s="1484"/>
      <c r="K1136" s="1484"/>
      <c r="L1136" s="1484"/>
      <c r="M1136" s="1484"/>
      <c r="N1136" s="1484"/>
      <c r="O1136" s="1484"/>
      <c r="P1136" s="1484"/>
      <c r="Q1136" s="1484"/>
      <c r="R1136" s="1484"/>
      <c r="S1136" s="1484"/>
      <c r="T1136" s="1484"/>
      <c r="U1136" s="1484"/>
      <c r="V1136" s="1484"/>
      <c r="W1136" s="1484"/>
      <c r="X1136" s="1484"/>
      <c r="Y1136" s="1484"/>
      <c r="Z1136" s="1484"/>
      <c r="AA1136" s="1484"/>
      <c r="AB1136" s="1484"/>
      <c r="AC1136" s="1484"/>
      <c r="AD1136" s="1484"/>
      <c r="AE1136" s="1484"/>
      <c r="AF1136" s="1484"/>
      <c r="AG1136" s="1484"/>
      <c r="AH1136" s="1484"/>
      <c r="AI1136" s="1484"/>
      <c r="AJ1136" s="1484"/>
      <c r="AK1136" s="1484"/>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7:D1097"/>
    <mergeCell ref="G737:J737"/>
    <mergeCell ref="B734:F734"/>
    <mergeCell ref="B748:F748"/>
    <mergeCell ref="C565:L565"/>
    <mergeCell ref="G601:R601"/>
    <mergeCell ref="AI605:AK605"/>
    <mergeCell ref="A625:AT626"/>
    <mergeCell ref="T742:W742"/>
    <mergeCell ref="D994:Q994"/>
    <mergeCell ref="AB994:AI99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D1054:AE1054"/>
    <mergeCell ref="C641:L641"/>
    <mergeCell ref="Q644:S644"/>
    <mergeCell ref="Q645:S645"/>
    <mergeCell ref="C644:L644"/>
    <mergeCell ref="N673:O673"/>
    <mergeCell ref="AA664:AK664"/>
    <mergeCell ref="C646:L646"/>
    <mergeCell ref="AK758:AO758"/>
    <mergeCell ref="AK745:AO745"/>
    <mergeCell ref="AK737:AO737"/>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AO638:AS638"/>
    <mergeCell ref="AM571:AS571"/>
    <mergeCell ref="AF636:AJ636"/>
    <mergeCell ref="W568:Y568"/>
    <mergeCell ref="AM565:AS565"/>
    <mergeCell ref="W638:Y638"/>
    <mergeCell ref="O543:AA543"/>
    <mergeCell ref="AH531:AK531"/>
    <mergeCell ref="AG657:AH657"/>
    <mergeCell ref="H696:R696"/>
    <mergeCell ref="X739:AB739"/>
    <mergeCell ref="AH740:AJ740"/>
    <mergeCell ref="G746:J746"/>
    <mergeCell ref="G736:J736"/>
    <mergeCell ref="O745:S745"/>
    <mergeCell ref="O746:S746"/>
    <mergeCell ref="AK738:AO738"/>
    <mergeCell ref="AC732:AG732"/>
    <mergeCell ref="AC738:AG738"/>
    <mergeCell ref="Z654:AK654"/>
    <mergeCell ref="AC746:AG746"/>
    <mergeCell ref="T744:W744"/>
    <mergeCell ref="AK731:AO731"/>
    <mergeCell ref="AK732:AO732"/>
    <mergeCell ref="AK733:AO733"/>
    <mergeCell ref="O728:S728"/>
    <mergeCell ref="G663:L663"/>
    <mergeCell ref="H664:R664"/>
    <mergeCell ref="AC736:AG736"/>
    <mergeCell ref="AC740:AG740"/>
    <mergeCell ref="X741:AB741"/>
    <mergeCell ref="Q643:S643"/>
    <mergeCell ref="C572:L572"/>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I567:AL567"/>
    <mergeCell ref="AC511:AF511"/>
    <mergeCell ref="AC521:AF521"/>
    <mergeCell ref="AC526:AF526"/>
    <mergeCell ref="AH512:AK512"/>
    <mergeCell ref="AM572:AS572"/>
    <mergeCell ref="AH509:AK509"/>
    <mergeCell ref="AH534:AK534"/>
    <mergeCell ref="W566:Y566"/>
    <mergeCell ref="AE566:AH566"/>
    <mergeCell ref="W567:Y567"/>
    <mergeCell ref="AI570:AL570"/>
    <mergeCell ref="Z576:AK576"/>
    <mergeCell ref="A69:AT70"/>
    <mergeCell ref="A72:AT73"/>
    <mergeCell ref="A552:AT553"/>
    <mergeCell ref="A488:AT489"/>
    <mergeCell ref="A360:AT361"/>
    <mergeCell ref="I401:N401"/>
    <mergeCell ref="M366:N366"/>
    <mergeCell ref="Z601:AK601"/>
    <mergeCell ref="AK637:AN637"/>
    <mergeCell ref="AI340:AK340"/>
    <mergeCell ref="Z632:AB634"/>
    <mergeCell ref="P621:R621"/>
    <mergeCell ref="W640:Y640"/>
    <mergeCell ref="Q635:S635"/>
    <mergeCell ref="Q636:S636"/>
    <mergeCell ref="Q637:S637"/>
    <mergeCell ref="Z635:AB635"/>
    <mergeCell ref="AI572:AL572"/>
    <mergeCell ref="T569:V569"/>
    <mergeCell ref="Z609:AK609"/>
    <mergeCell ref="AM573:AS573"/>
    <mergeCell ref="AE571:AH571"/>
    <mergeCell ref="AG615:AH615"/>
    <mergeCell ref="AM567:AS567"/>
    <mergeCell ref="AM570:AS570"/>
    <mergeCell ref="M367:N367"/>
    <mergeCell ref="AH527:AK527"/>
    <mergeCell ref="AH544:AK544"/>
    <mergeCell ref="AG457:AJ457"/>
    <mergeCell ref="M567:P567"/>
    <mergeCell ref="W637:Y637"/>
    <mergeCell ref="AO642:AS642"/>
    <mergeCell ref="AF643:AJ643"/>
    <mergeCell ref="AO643:AS643"/>
    <mergeCell ref="W642:Y642"/>
    <mergeCell ref="AI589:AK589"/>
    <mergeCell ref="AC524:AF524"/>
    <mergeCell ref="AI621:AK621"/>
    <mergeCell ref="AA622:AK622"/>
    <mergeCell ref="AC632:AE634"/>
    <mergeCell ref="AH517:AK517"/>
    <mergeCell ref="AM566:AS566"/>
    <mergeCell ref="AM574:AS574"/>
    <mergeCell ref="AE564:AH564"/>
    <mergeCell ref="AE567:AH567"/>
    <mergeCell ref="Q640:S640"/>
    <mergeCell ref="M573:P573"/>
    <mergeCell ref="G588:R588"/>
    <mergeCell ref="W639:Y639"/>
    <mergeCell ref="AG623:AH623"/>
    <mergeCell ref="G620:R620"/>
    <mergeCell ref="G619:R619"/>
    <mergeCell ref="Z610:AK610"/>
    <mergeCell ref="Z620:AK620"/>
    <mergeCell ref="AC635:AE635"/>
    <mergeCell ref="AK636:AN636"/>
    <mergeCell ref="T571:V571"/>
    <mergeCell ref="Z572:AD572"/>
    <mergeCell ref="Z573:AD573"/>
    <mergeCell ref="T573:V573"/>
    <mergeCell ref="Q639:S639"/>
    <mergeCell ref="T640:V640"/>
    <mergeCell ref="EJ737:EN737"/>
    <mergeCell ref="EJ725:EN725"/>
    <mergeCell ref="EO740:ES740"/>
    <mergeCell ref="ET737:EX737"/>
    <mergeCell ref="AK641:AN641"/>
    <mergeCell ref="Z568:AD568"/>
    <mergeCell ref="AI571:AL571"/>
    <mergeCell ref="Z571:AD571"/>
    <mergeCell ref="T568:V568"/>
    <mergeCell ref="Z569:AD569"/>
    <mergeCell ref="M632:P634"/>
    <mergeCell ref="Q638:S638"/>
    <mergeCell ref="M569:P569"/>
    <mergeCell ref="C573:L573"/>
    <mergeCell ref="AM569:AS569"/>
    <mergeCell ref="Z639:AB639"/>
    <mergeCell ref="AF632:AJ634"/>
    <mergeCell ref="G594:R594"/>
    <mergeCell ref="G603:R603"/>
    <mergeCell ref="G604:R604"/>
    <mergeCell ref="G602:R602"/>
    <mergeCell ref="Z594:AK594"/>
    <mergeCell ref="AO632:AS634"/>
    <mergeCell ref="AC638:AE638"/>
    <mergeCell ref="Z619:AK619"/>
    <mergeCell ref="Z579:AK579"/>
    <mergeCell ref="Z577:AK577"/>
    <mergeCell ref="Z578:AK578"/>
    <mergeCell ref="Z587:AK587"/>
    <mergeCell ref="Z586:AK586"/>
    <mergeCell ref="Z588:AK588"/>
    <mergeCell ref="Z603:AK603"/>
    <mergeCell ref="EJ752:EN752"/>
    <mergeCell ref="EO752:ES752"/>
    <mergeCell ref="DU756:DY756"/>
    <mergeCell ref="CU750:CY750"/>
    <mergeCell ref="CZ750:DD750"/>
    <mergeCell ref="DZ747:ED747"/>
    <mergeCell ref="EJ748:EN748"/>
    <mergeCell ref="EO753:ES753"/>
    <mergeCell ref="DZ746:ED746"/>
    <mergeCell ref="EE746:EI746"/>
    <mergeCell ref="EJ746:EN746"/>
    <mergeCell ref="DU759:DY759"/>
    <mergeCell ref="EM644:EQ644"/>
    <mergeCell ref="DX645:EB645"/>
    <mergeCell ref="AC641:AE641"/>
    <mergeCell ref="B647:AN647"/>
    <mergeCell ref="B648:AN648"/>
    <mergeCell ref="B727:F727"/>
    <mergeCell ref="Z694:AK694"/>
    <mergeCell ref="Z683:AK683"/>
    <mergeCell ref="AE707:AI707"/>
    <mergeCell ref="C642:L642"/>
    <mergeCell ref="AH745:AJ745"/>
    <mergeCell ref="AH746:AJ746"/>
    <mergeCell ref="AH744:AJ744"/>
    <mergeCell ref="AO645:AS645"/>
    <mergeCell ref="EM649:EQ649"/>
    <mergeCell ref="ER663:EV663"/>
    <mergeCell ref="EH656:EL656"/>
    <mergeCell ref="EH659:EL659"/>
    <mergeCell ref="CP746:CT746"/>
    <mergeCell ref="CZ742:DD742"/>
    <mergeCell ref="DE796:DI796"/>
    <mergeCell ref="DE798:DI798"/>
    <mergeCell ref="DE799:DI799"/>
    <mergeCell ref="EJ747:EN747"/>
    <mergeCell ref="DJ746:DN746"/>
    <mergeCell ref="EO745:ES745"/>
    <mergeCell ref="EE747:EI747"/>
    <mergeCell ref="DJ759:DN759"/>
    <mergeCell ref="CZ753:DD753"/>
    <mergeCell ref="DE753:DI753"/>
    <mergeCell ref="CZ746:DD746"/>
    <mergeCell ref="DU757:DY757"/>
    <mergeCell ref="DZ757:ED757"/>
    <mergeCell ref="EE750:EI750"/>
    <mergeCell ref="DZ745:ED745"/>
    <mergeCell ref="EO760:ES760"/>
    <mergeCell ref="EJ760:EN760"/>
    <mergeCell ref="DJ785:DN785"/>
    <mergeCell ref="DJ782:DN782"/>
    <mergeCell ref="EE757:EI757"/>
    <mergeCell ref="EJ757:EN757"/>
    <mergeCell ref="DE784:DI784"/>
    <mergeCell ref="DO746:DS746"/>
    <mergeCell ref="EE745:EI745"/>
    <mergeCell ref="EJ745:EN745"/>
    <mergeCell ref="DE781:DI781"/>
    <mergeCell ref="DJ781:DN781"/>
    <mergeCell ref="DO758:DS758"/>
    <mergeCell ref="DJ753:DN753"/>
    <mergeCell ref="DU747:DY747"/>
    <mergeCell ref="EE759:EI759"/>
    <mergeCell ref="DZ759:ED759"/>
    <mergeCell ref="CP804:CT804"/>
    <mergeCell ref="CP801:CT801"/>
    <mergeCell ref="CP800:CT800"/>
    <mergeCell ref="CP799:CT799"/>
    <mergeCell ref="CP798:CT798"/>
    <mergeCell ref="CZ761:DD761"/>
    <mergeCell ref="DJ783:DN783"/>
    <mergeCell ref="CU747:CY747"/>
    <mergeCell ref="CP797:CT797"/>
    <mergeCell ref="DO761:DS761"/>
    <mergeCell ref="DO781:DS781"/>
    <mergeCell ref="CP785:CT785"/>
    <mergeCell ref="CP781:CT781"/>
    <mergeCell ref="CU760:CY760"/>
    <mergeCell ref="CU781:CY781"/>
    <mergeCell ref="CP749:CT749"/>
    <mergeCell ref="CP747:CT747"/>
    <mergeCell ref="CP757:CT757"/>
    <mergeCell ref="DO755:DS755"/>
    <mergeCell ref="CU753:CY753"/>
    <mergeCell ref="DO785:DS785"/>
    <mergeCell ref="CZ785:DD785"/>
    <mergeCell ref="DE785:DI785"/>
    <mergeCell ref="DO754:DS754"/>
    <mergeCell ref="DO747:DS747"/>
    <mergeCell ref="DE747:DI747"/>
    <mergeCell ref="DE783:DI783"/>
    <mergeCell ref="CZ783:DD783"/>
    <mergeCell ref="CU761:CY761"/>
    <mergeCell ref="DO750:DS750"/>
    <mergeCell ref="CU751:CY751"/>
    <mergeCell ref="CZ751:DD751"/>
    <mergeCell ref="EM660:EQ660"/>
    <mergeCell ref="DX658:EB658"/>
    <mergeCell ref="EC658:EG658"/>
    <mergeCell ref="EC663:EG663"/>
    <mergeCell ref="DO737:DS737"/>
    <mergeCell ref="EJ727:EN727"/>
    <mergeCell ref="EE733:EI733"/>
    <mergeCell ref="EE734:EI734"/>
    <mergeCell ref="EJ734:EN734"/>
    <mergeCell ref="EE740:EI740"/>
    <mergeCell ref="EJ740:EN740"/>
    <mergeCell ref="EE732:EI732"/>
    <mergeCell ref="CP745:CT745"/>
    <mergeCell ref="ET746:EX746"/>
    <mergeCell ref="CK753:CL753"/>
    <mergeCell ref="EW665:FA665"/>
    <mergeCell ref="EH667:EL667"/>
    <mergeCell ref="EC669:EG669"/>
    <mergeCell ref="EH669:EL669"/>
    <mergeCell ref="EZ728:FD728"/>
    <mergeCell ref="EE744:EI744"/>
    <mergeCell ref="EJ744:EN744"/>
    <mergeCell ref="DE744:DI744"/>
    <mergeCell ref="EO751:ES751"/>
    <mergeCell ref="EO748:ES748"/>
    <mergeCell ref="DE752:DI752"/>
    <mergeCell ref="CP750:CT750"/>
    <mergeCell ref="EE753:EI753"/>
    <mergeCell ref="EJ753:EN753"/>
    <mergeCell ref="DU752:DY752"/>
    <mergeCell ref="DZ752:ED752"/>
    <mergeCell ref="EE752:EI752"/>
    <mergeCell ref="DO784:DS784"/>
    <mergeCell ref="DO783:DS783"/>
    <mergeCell ref="DJ761:DN761"/>
    <mergeCell ref="DE748:DI748"/>
    <mergeCell ref="DU748:DY748"/>
    <mergeCell ref="EO741:ES741"/>
    <mergeCell ref="EO742:ES742"/>
    <mergeCell ref="EH658:EL658"/>
    <mergeCell ref="DJ737:DN737"/>
    <mergeCell ref="CM748:CN748"/>
    <mergeCell ref="EH663:EL663"/>
    <mergeCell ref="EM663:EQ663"/>
    <mergeCell ref="EJ759:EN759"/>
    <mergeCell ref="EO747:ES747"/>
    <mergeCell ref="EE742:EI742"/>
    <mergeCell ref="DE733:DI733"/>
    <mergeCell ref="DE737:DI737"/>
    <mergeCell ref="DE734:DI734"/>
    <mergeCell ref="DE739:DI739"/>
    <mergeCell ref="DO734:DS734"/>
    <mergeCell ref="DO748:DS748"/>
    <mergeCell ref="DO753:DS753"/>
    <mergeCell ref="CZ782:DD782"/>
    <mergeCell ref="CZ781:DD781"/>
    <mergeCell ref="DO782:DS782"/>
    <mergeCell ref="DU761:DY761"/>
    <mergeCell ref="DZ742:ED742"/>
    <mergeCell ref="DU753:DY753"/>
    <mergeCell ref="ER665:EV665"/>
    <mergeCell ref="DO738:DS738"/>
    <mergeCell ref="DO739:DS739"/>
    <mergeCell ref="DO735:DS735"/>
    <mergeCell ref="DO762:DS762"/>
    <mergeCell ref="DE761:DI761"/>
    <mergeCell ref="DO759:DS759"/>
    <mergeCell ref="DO760:DS760"/>
    <mergeCell ref="DE759:DI759"/>
    <mergeCell ref="DO743:DS743"/>
    <mergeCell ref="DO744:DS744"/>
    <mergeCell ref="DJ744:DN744"/>
    <mergeCell ref="DZ760:ED760"/>
    <mergeCell ref="DJ760:DN760"/>
    <mergeCell ref="DU746:DY746"/>
    <mergeCell ref="DZ740:ED740"/>
    <mergeCell ref="EZ761:FD761"/>
    <mergeCell ref="DE782:DI782"/>
    <mergeCell ref="DE746:DI746"/>
    <mergeCell ref="DO742:DS742"/>
    <mergeCell ref="DO740:DS740"/>
    <mergeCell ref="DO749:DS749"/>
    <mergeCell ref="DJ743:DN743"/>
    <mergeCell ref="ET759:EX759"/>
    <mergeCell ref="ET747:EX747"/>
    <mergeCell ref="ET757:EX757"/>
    <mergeCell ref="DJ747:DN747"/>
    <mergeCell ref="DE760:DI760"/>
    <mergeCell ref="DU751:DY751"/>
    <mergeCell ref="DZ751:ED751"/>
    <mergeCell ref="EE751:EI751"/>
    <mergeCell ref="EJ751:EN751"/>
    <mergeCell ref="ET742:EX742"/>
    <mergeCell ref="ET743:EX743"/>
    <mergeCell ref="DO741:DS741"/>
    <mergeCell ref="EE761:EI761"/>
    <mergeCell ref="DU743:DY743"/>
    <mergeCell ref="DO745:DS745"/>
    <mergeCell ref="DE736:DI736"/>
    <mergeCell ref="DU726:DY726"/>
    <mergeCell ref="DU729:DY729"/>
    <mergeCell ref="EE729:EI729"/>
    <mergeCell ref="EJ729:EN729"/>
    <mergeCell ref="DZ729:ED729"/>
    <mergeCell ref="DZ730:ED730"/>
    <mergeCell ref="DU725:DY725"/>
    <mergeCell ref="DE743:DI743"/>
    <mergeCell ref="DU744:DY744"/>
    <mergeCell ref="DZ744:ED744"/>
    <mergeCell ref="DU738:DY738"/>
    <mergeCell ref="EE736:EI736"/>
    <mergeCell ref="ET739:EX739"/>
    <mergeCell ref="EJ735:EN735"/>
    <mergeCell ref="EO737:ES737"/>
    <mergeCell ref="EJ743:EN743"/>
    <mergeCell ref="EO743:ES743"/>
    <mergeCell ref="DZ743:ED743"/>
    <mergeCell ref="ET745:EX745"/>
    <mergeCell ref="DZ739:ED739"/>
    <mergeCell ref="EJ733:EN733"/>
    <mergeCell ref="EE739:EI739"/>
    <mergeCell ref="EJ739:EN739"/>
    <mergeCell ref="DZ741:ED741"/>
    <mergeCell ref="EO736:ES736"/>
    <mergeCell ref="ET736:EX736"/>
    <mergeCell ref="ET731:EX731"/>
    <mergeCell ref="DU727:DY727"/>
    <mergeCell ref="DU737:DY737"/>
    <mergeCell ref="ER661:EV661"/>
    <mergeCell ref="DX673:EB673"/>
    <mergeCell ref="EO728:ES728"/>
    <mergeCell ref="DZ738:ED738"/>
    <mergeCell ref="EE738:EI738"/>
    <mergeCell ref="EJ738:EN738"/>
    <mergeCell ref="ET734:EX734"/>
    <mergeCell ref="ET730:EX730"/>
    <mergeCell ref="EM668:EQ668"/>
    <mergeCell ref="EM675:EQ675"/>
    <mergeCell ref="ER675:EV675"/>
    <mergeCell ref="ET735:EX735"/>
    <mergeCell ref="DZ735:ED735"/>
    <mergeCell ref="EE735:EI735"/>
    <mergeCell ref="EE731:EI731"/>
    <mergeCell ref="EJ731:EN731"/>
    <mergeCell ref="DJ738:DN738"/>
    <mergeCell ref="DO726:DS726"/>
    <mergeCell ref="DJ735:DN735"/>
    <mergeCell ref="EM670:EQ670"/>
    <mergeCell ref="ER670:EV670"/>
    <mergeCell ref="DU735:DY735"/>
    <mergeCell ref="ER674:EV674"/>
    <mergeCell ref="DX675:EB675"/>
    <mergeCell ref="EJ736:EN736"/>
    <mergeCell ref="DU736:DY736"/>
    <mergeCell ref="DZ732:ED732"/>
    <mergeCell ref="ER662:EV662"/>
    <mergeCell ref="EE725:EI725"/>
    <mergeCell ref="EJ728:EN728"/>
    <mergeCell ref="EO730:ES730"/>
    <mergeCell ref="EO725:ES725"/>
    <mergeCell ref="EC647:EG647"/>
    <mergeCell ref="EH647:EL647"/>
    <mergeCell ref="EM647:EQ647"/>
    <mergeCell ref="ER654:EV654"/>
    <mergeCell ref="FJ728:FN728"/>
    <mergeCell ref="FO728:FS728"/>
    <mergeCell ref="EZ725:FD725"/>
    <mergeCell ref="FE725:FI725"/>
    <mergeCell ref="FJ725:FN725"/>
    <mergeCell ref="FO725:FS725"/>
    <mergeCell ref="EW678:FA678"/>
    <mergeCell ref="EW664:FA664"/>
    <mergeCell ref="ER658:EV658"/>
    <mergeCell ref="EM658:EQ658"/>
    <mergeCell ref="EC661:EG661"/>
    <mergeCell ref="EC659:EG659"/>
    <mergeCell ref="EM676:EQ676"/>
    <mergeCell ref="EM672:EQ672"/>
    <mergeCell ref="ER672:EV672"/>
    <mergeCell ref="EC675:EG675"/>
    <mergeCell ref="EH675:EL675"/>
    <mergeCell ref="EM674:EQ674"/>
    <mergeCell ref="EW660:FA660"/>
    <mergeCell ref="ER659:EV659"/>
    <mergeCell ref="ER660:EV660"/>
    <mergeCell ref="EC670:EG670"/>
    <mergeCell ref="EH670:EL670"/>
    <mergeCell ref="ER668:EV668"/>
    <mergeCell ref="EH674:EL674"/>
    <mergeCell ref="ER657:EV657"/>
    <mergeCell ref="EW677:FA677"/>
    <mergeCell ref="EH661:EL661"/>
    <mergeCell ref="EW647:FA647"/>
    <mergeCell ref="EC648:EG648"/>
    <mergeCell ref="EW648:FA648"/>
    <mergeCell ref="ER651:EV651"/>
    <mergeCell ref="ER648:EV648"/>
    <mergeCell ref="EW655:FA655"/>
    <mergeCell ref="EW658:FA658"/>
    <mergeCell ref="EW656:FA656"/>
    <mergeCell ref="DU730:DY730"/>
    <mergeCell ref="ER647:EV647"/>
    <mergeCell ref="DX652:EB652"/>
    <mergeCell ref="DX650:EB650"/>
    <mergeCell ref="EH662:EL662"/>
    <mergeCell ref="EH676:EL676"/>
    <mergeCell ref="DX665:EB665"/>
    <mergeCell ref="EC665:EG665"/>
    <mergeCell ref="EH665:EL665"/>
    <mergeCell ref="EM665:EQ665"/>
    <mergeCell ref="ET725:EX725"/>
    <mergeCell ref="EM678:EQ678"/>
    <mergeCell ref="EW668:FA668"/>
    <mergeCell ref="DX669:EB669"/>
    <mergeCell ref="EW649:FA649"/>
    <mergeCell ref="EW674:FA674"/>
    <mergeCell ref="EW662:FA662"/>
    <mergeCell ref="DX655:EB655"/>
    <mergeCell ref="ER669:EV669"/>
    <mergeCell ref="EM656:EQ656"/>
    <mergeCell ref="ER652:EV652"/>
    <mergeCell ref="EW650:FA650"/>
    <mergeCell ref="EW651:FA651"/>
    <mergeCell ref="EC657:EG657"/>
    <mergeCell ref="EW654:FA654"/>
    <mergeCell ref="EW661:FA661"/>
    <mergeCell ref="EH657:EL657"/>
    <mergeCell ref="EM659:EQ659"/>
    <mergeCell ref="EH655:EL655"/>
    <mergeCell ref="EM655:EQ655"/>
    <mergeCell ref="EC656:EG656"/>
    <mergeCell ref="EM654:EQ654"/>
    <mergeCell ref="DX661:EB661"/>
    <mergeCell ref="DX662:EB662"/>
    <mergeCell ref="DX659:EB659"/>
    <mergeCell ref="DX678:EB678"/>
    <mergeCell ref="ER656:EV656"/>
    <mergeCell ref="ER655:EV655"/>
    <mergeCell ref="EM653:EQ653"/>
    <mergeCell ref="EE737:EI737"/>
    <mergeCell ref="EW669:FA669"/>
    <mergeCell ref="EZ733:FD733"/>
    <mergeCell ref="EC654:EG654"/>
    <mergeCell ref="DX656:EB656"/>
    <mergeCell ref="EM671:EQ671"/>
    <mergeCell ref="ER671:EV671"/>
    <mergeCell ref="EW671:FA671"/>
    <mergeCell ref="EC667:EG667"/>
    <mergeCell ref="EM661:EQ661"/>
    <mergeCell ref="EW663:FA663"/>
    <mergeCell ref="ER677:EV677"/>
    <mergeCell ref="ER676:EV676"/>
    <mergeCell ref="EW676:FA676"/>
    <mergeCell ref="EW672:FA672"/>
    <mergeCell ref="EW659:FA659"/>
    <mergeCell ref="EW657:FA657"/>
    <mergeCell ref="FE744:FI744"/>
    <mergeCell ref="FT739:FX739"/>
    <mergeCell ref="FY739:GC739"/>
    <mergeCell ref="EZ740:FD740"/>
    <mergeCell ref="FE740:FI740"/>
    <mergeCell ref="FJ740:FN740"/>
    <mergeCell ref="FY740:GC740"/>
    <mergeCell ref="FO738:FS738"/>
    <mergeCell ref="FT738:FX738"/>
    <mergeCell ref="EM648:EQ648"/>
    <mergeCell ref="DX647:EB647"/>
    <mergeCell ref="EO727:ES727"/>
    <mergeCell ref="ET727:EX727"/>
    <mergeCell ref="EJ730:EN730"/>
    <mergeCell ref="DZ725:ED725"/>
    <mergeCell ref="EJ726:EN726"/>
    <mergeCell ref="EH672:EL672"/>
    <mergeCell ref="DX674:EB674"/>
    <mergeCell ref="EC674:EG674"/>
    <mergeCell ref="EH668:EL668"/>
    <mergeCell ref="FJ731:FN731"/>
    <mergeCell ref="DX651:EB651"/>
    <mergeCell ref="DX648:EB648"/>
    <mergeCell ref="DX660:EB660"/>
    <mergeCell ref="FE729:FI729"/>
    <mergeCell ref="DX657:EB657"/>
    <mergeCell ref="EM664:EQ664"/>
    <mergeCell ref="EH650:EL650"/>
    <mergeCell ref="EM650:EQ650"/>
    <mergeCell ref="ER650:EV650"/>
    <mergeCell ref="DX649:EB649"/>
    <mergeCell ref="EC652:EG652"/>
    <mergeCell ref="EZ741:FD741"/>
    <mergeCell ref="FE741:FI741"/>
    <mergeCell ref="ET748:EX748"/>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Y738:GC738"/>
    <mergeCell ref="FY744:GC744"/>
    <mergeCell ref="EZ745:FD745"/>
    <mergeCell ref="FE745:FI745"/>
    <mergeCell ref="FJ745:FN745"/>
    <mergeCell ref="FO745:FS745"/>
    <mergeCell ref="FJ742:FN742"/>
    <mergeCell ref="FO742:FS742"/>
    <mergeCell ref="FY745:GC745"/>
    <mergeCell ref="FT743:FX743"/>
    <mergeCell ref="FY743:GC743"/>
    <mergeCell ref="EZ744:FD744"/>
    <mergeCell ref="EZ736:FD736"/>
    <mergeCell ref="EZ735:FD735"/>
    <mergeCell ref="EZ734:FD734"/>
    <mergeCell ref="FT736:FX736"/>
    <mergeCell ref="FT733:FX733"/>
    <mergeCell ref="FT756:FX756"/>
    <mergeCell ref="FT757:FX757"/>
    <mergeCell ref="FY751:GC751"/>
    <mergeCell ref="EZ752:FD752"/>
    <mergeCell ref="FE752:FI752"/>
    <mergeCell ref="FJ752:FN752"/>
    <mergeCell ref="FO752:FS752"/>
    <mergeCell ref="EZ747:FD747"/>
    <mergeCell ref="FO747:FS747"/>
    <mergeCell ref="FT748:FX748"/>
    <mergeCell ref="FT741:FX741"/>
    <mergeCell ref="FT742:FX742"/>
    <mergeCell ref="FY742:GC742"/>
    <mergeCell ref="EZ743:FD743"/>
    <mergeCell ref="FE743:FI743"/>
    <mergeCell ref="FT745:FX745"/>
    <mergeCell ref="FT752:FX752"/>
    <mergeCell ref="FY752:GC752"/>
    <mergeCell ref="FJ744:FN744"/>
    <mergeCell ref="FY736:GC736"/>
    <mergeCell ref="EZ737:FD737"/>
    <mergeCell ref="FE737:FI737"/>
    <mergeCell ref="FJ737:FN737"/>
    <mergeCell ref="FO737:FS737"/>
    <mergeCell ref="FY748:GC748"/>
    <mergeCell ref="FO744:FS744"/>
    <mergeCell ref="FT744:FX744"/>
    <mergeCell ref="FJ743:FN743"/>
    <mergeCell ref="FY733:GC733"/>
    <mergeCell ref="FT732:FX732"/>
    <mergeCell ref="FY732:GC732"/>
    <mergeCell ref="FJ732:FN732"/>
    <mergeCell ref="FO732:FS732"/>
    <mergeCell ref="FE735:FI735"/>
    <mergeCell ref="FJ735:FN735"/>
    <mergeCell ref="FO735:FS735"/>
    <mergeCell ref="FT735:FX735"/>
    <mergeCell ref="FJ734:FN734"/>
    <mergeCell ref="FO734:FS734"/>
    <mergeCell ref="FT734:FX734"/>
    <mergeCell ref="FE732:FI732"/>
    <mergeCell ref="FY734:GC734"/>
    <mergeCell ref="FE739:FI739"/>
    <mergeCell ref="FJ739:FN739"/>
    <mergeCell ref="FO739:FS739"/>
    <mergeCell ref="FE736:FI736"/>
    <mergeCell ref="FE738:FI738"/>
    <mergeCell ref="FJ738:FN738"/>
    <mergeCell ref="FO733:FS733"/>
    <mergeCell ref="FE733:FI733"/>
    <mergeCell ref="FE734:FI734"/>
    <mergeCell ref="FY735:GC735"/>
    <mergeCell ref="FJ733:FN733"/>
    <mergeCell ref="FO740:FS740"/>
    <mergeCell ref="FT740:FX740"/>
    <mergeCell ref="FJ736:FN736"/>
    <mergeCell ref="FO736:FS736"/>
    <mergeCell ref="FT737:FX737"/>
    <mergeCell ref="FY737:GC737"/>
    <mergeCell ref="FY755:GC755"/>
    <mergeCell ref="D1020:AE1020"/>
    <mergeCell ref="D1021:AE1021"/>
    <mergeCell ref="R997:AA997"/>
    <mergeCell ref="D999:Q999"/>
    <mergeCell ref="AB998:AI998"/>
    <mergeCell ref="O983:P983"/>
    <mergeCell ref="U924:Z926"/>
    <mergeCell ref="U959:Z959"/>
    <mergeCell ref="AA984:AG984"/>
    <mergeCell ref="AA954:AF954"/>
    <mergeCell ref="U927:Z927"/>
    <mergeCell ref="AA977:AG977"/>
    <mergeCell ref="AE964:AK964"/>
    <mergeCell ref="D1009:AE1009"/>
    <mergeCell ref="G745:J745"/>
    <mergeCell ref="M971:S971"/>
    <mergeCell ref="AA934:AF934"/>
    <mergeCell ref="D1017:AE1019"/>
    <mergeCell ref="D996:Q996"/>
    <mergeCell ref="R998:AA998"/>
    <mergeCell ref="FT759:FX759"/>
    <mergeCell ref="FY759:GC759"/>
    <mergeCell ref="DJ745:DN745"/>
    <mergeCell ref="DU745:DY745"/>
    <mergeCell ref="EJ761:EN761"/>
    <mergeCell ref="DZ748:ED748"/>
    <mergeCell ref="EE748:EI748"/>
    <mergeCell ref="EO761:ES761"/>
    <mergeCell ref="EO746:ES746"/>
    <mergeCell ref="EJ750:EN750"/>
    <mergeCell ref="EO750:ES75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FO729:FS729"/>
    <mergeCell ref="FO731:FS731"/>
    <mergeCell ref="FY729:GC729"/>
    <mergeCell ref="FE730:FI730"/>
    <mergeCell ref="FJ730:FN730"/>
    <mergeCell ref="FO730:FS730"/>
    <mergeCell ref="FT730:FX730"/>
    <mergeCell ref="FY730:GC730"/>
    <mergeCell ref="EZ731:FD731"/>
    <mergeCell ref="FE731:FI731"/>
    <mergeCell ref="FE728:FI728"/>
    <mergeCell ref="EZ729:FD729"/>
    <mergeCell ref="FJ729:FN72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AJ998:AQ998"/>
    <mergeCell ref="AJ1062:AQ1062"/>
    <mergeCell ref="D995:Q995"/>
    <mergeCell ref="AG1054:AH1054"/>
    <mergeCell ref="D1026:AE1028"/>
    <mergeCell ref="AG1041:AH1041"/>
    <mergeCell ref="D1045:AE1045"/>
    <mergeCell ref="AG1050:AH1050"/>
    <mergeCell ref="AG1045:AH1045"/>
    <mergeCell ref="D1035:AE1037"/>
    <mergeCell ref="D1022:AE1022"/>
    <mergeCell ref="AF1002:AI1002"/>
    <mergeCell ref="AG1003:AH1003"/>
    <mergeCell ref="AG1010:AH1010"/>
    <mergeCell ref="AG1016:AH1016"/>
    <mergeCell ref="AG1020:AH1020"/>
    <mergeCell ref="AG1022:AH1022"/>
    <mergeCell ref="D1042:AE1044"/>
    <mergeCell ref="D1029:AE1030"/>
    <mergeCell ref="CG744:CH744"/>
    <mergeCell ref="T747:W747"/>
    <mergeCell ref="K748:N748"/>
    <mergeCell ref="AC756:AG756"/>
    <mergeCell ref="T750:W750"/>
    <mergeCell ref="X753:AB753"/>
    <mergeCell ref="O748:S748"/>
    <mergeCell ref="AF1032:AI1033"/>
    <mergeCell ref="M979:S979"/>
    <mergeCell ref="AA980:AG980"/>
    <mergeCell ref="T981:Z981"/>
    <mergeCell ref="M984:S984"/>
    <mergeCell ref="D1025:AE1025"/>
    <mergeCell ref="D1008:AE1008"/>
    <mergeCell ref="R996:AA996"/>
    <mergeCell ref="AB995:AI995"/>
    <mergeCell ref="AJ1045:AQ1049"/>
    <mergeCell ref="D1050:AE1050"/>
    <mergeCell ref="D1051:AE1053"/>
    <mergeCell ref="AB997:AI997"/>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D1023:AE1024"/>
    <mergeCell ref="G740:J740"/>
    <mergeCell ref="X742:AB742"/>
    <mergeCell ref="O784:S784"/>
    <mergeCell ref="O777:S780"/>
    <mergeCell ref="K755:N755"/>
    <mergeCell ref="AB1000:AI1000"/>
    <mergeCell ref="D1034:AE1034"/>
    <mergeCell ref="AF1035:AI1035"/>
    <mergeCell ref="AB999:AI999"/>
    <mergeCell ref="D1004:AE1007"/>
    <mergeCell ref="D1003:AE1003"/>
    <mergeCell ref="T746:W746"/>
    <mergeCell ref="T982:Z982"/>
    <mergeCell ref="I959:T959"/>
    <mergeCell ref="B762:AH763"/>
    <mergeCell ref="T781:W781"/>
    <mergeCell ref="B760:F760"/>
    <mergeCell ref="B759:F759"/>
    <mergeCell ref="U945:Z945"/>
    <mergeCell ref="F949:T949"/>
    <mergeCell ref="W886:AC886"/>
    <mergeCell ref="E894:AB894"/>
    <mergeCell ref="W870:AC870"/>
    <mergeCell ref="AE970:AK970"/>
    <mergeCell ref="AA957:AF957"/>
    <mergeCell ref="M976:S976"/>
    <mergeCell ref="U958:Z958"/>
    <mergeCell ref="I958:T958"/>
    <mergeCell ref="J781:N781"/>
    <mergeCell ref="AG764:AJ764"/>
    <mergeCell ref="M980:S980"/>
    <mergeCell ref="M965:S965"/>
    <mergeCell ref="AB966:AK966"/>
    <mergeCell ref="AA979:AG979"/>
    <mergeCell ref="T736:W736"/>
    <mergeCell ref="AC748:AG748"/>
    <mergeCell ref="AH737:AJ737"/>
    <mergeCell ref="O739:S739"/>
    <mergeCell ref="AH743:AJ743"/>
    <mergeCell ref="G743:J743"/>
    <mergeCell ref="AH741:AJ741"/>
    <mergeCell ref="X738:AB738"/>
    <mergeCell ref="O740:S740"/>
    <mergeCell ref="AE967:AK967"/>
    <mergeCell ref="F925:T926"/>
    <mergeCell ref="F948:T948"/>
    <mergeCell ref="K757:N757"/>
    <mergeCell ref="O757:S757"/>
    <mergeCell ref="X759:AB759"/>
    <mergeCell ref="O781:S781"/>
    <mergeCell ref="J784:N784"/>
    <mergeCell ref="K749:N749"/>
    <mergeCell ref="X748:AB748"/>
    <mergeCell ref="G741:J741"/>
    <mergeCell ref="U940:Z940"/>
    <mergeCell ref="U944:Z944"/>
    <mergeCell ref="F939:T939"/>
    <mergeCell ref="F940:T940"/>
    <mergeCell ref="AH758:AJ758"/>
    <mergeCell ref="B750:F750"/>
    <mergeCell ref="B751:F751"/>
    <mergeCell ref="B744:F744"/>
    <mergeCell ref="AA955:AF955"/>
    <mergeCell ref="C838:H838"/>
    <mergeCell ref="U947:Z947"/>
    <mergeCell ref="O796:S796"/>
    <mergeCell ref="J800:N800"/>
    <mergeCell ref="X799:AB799"/>
    <mergeCell ref="Z815:AE815"/>
    <mergeCell ref="X798:AB798"/>
    <mergeCell ref="AC741:AG741"/>
    <mergeCell ref="B755:F755"/>
    <mergeCell ref="B756:F756"/>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F947:T947"/>
    <mergeCell ref="F946:T946"/>
    <mergeCell ref="AA937:AF937"/>
    <mergeCell ref="AH757:AJ757"/>
    <mergeCell ref="AH747:AJ747"/>
    <mergeCell ref="AH748:AJ748"/>
    <mergeCell ref="O738:S738"/>
    <mergeCell ref="B742:F742"/>
    <mergeCell ref="AH739:AJ739"/>
    <mergeCell ref="W851:AC851"/>
    <mergeCell ref="G747:J747"/>
    <mergeCell ref="I956:T956"/>
    <mergeCell ref="AK746:AO746"/>
    <mergeCell ref="K740:N740"/>
    <mergeCell ref="W874:AC874"/>
    <mergeCell ref="W888:AC888"/>
    <mergeCell ref="C904:AB904"/>
    <mergeCell ref="F935:T935"/>
    <mergeCell ref="F936:T936"/>
    <mergeCell ref="P954:T954"/>
    <mergeCell ref="F953:T953"/>
    <mergeCell ref="U953:Z953"/>
    <mergeCell ref="AG838:AJ838"/>
    <mergeCell ref="U840:X840"/>
    <mergeCell ref="M840:P840"/>
    <mergeCell ref="W875:AC875"/>
    <mergeCell ref="W867:AC867"/>
    <mergeCell ref="U952:Z952"/>
    <mergeCell ref="B743:F743"/>
    <mergeCell ref="B746:F746"/>
    <mergeCell ref="U942:Z942"/>
    <mergeCell ref="I955:T955"/>
    <mergeCell ref="U839:X839"/>
    <mergeCell ref="T738:W738"/>
    <mergeCell ref="X743:AB743"/>
    <mergeCell ref="X744:AB744"/>
    <mergeCell ref="T743:W743"/>
    <mergeCell ref="G738:J738"/>
    <mergeCell ref="O764:R764"/>
    <mergeCell ref="X758:AB758"/>
    <mergeCell ref="AC757:AG757"/>
    <mergeCell ref="AC747:AG747"/>
    <mergeCell ref="X740:AB740"/>
    <mergeCell ref="K742:N742"/>
    <mergeCell ref="B741:F741"/>
    <mergeCell ref="F937:T937"/>
    <mergeCell ref="U935:Z935"/>
    <mergeCell ref="Y835:AB835"/>
    <mergeCell ref="AG835:AJ835"/>
    <mergeCell ref="C771:AR773"/>
    <mergeCell ref="AC760:AG760"/>
    <mergeCell ref="C835:H835"/>
    <mergeCell ref="X782:AB782"/>
    <mergeCell ref="AC899:AH899"/>
    <mergeCell ref="W887:AC887"/>
    <mergeCell ref="F924:T924"/>
    <mergeCell ref="AA932:AF932"/>
    <mergeCell ref="Q840:T840"/>
    <mergeCell ref="M839:P839"/>
    <mergeCell ref="M837:P837"/>
    <mergeCell ref="AC893:AH893"/>
    <mergeCell ref="T755:W755"/>
    <mergeCell ref="J796:N796"/>
    <mergeCell ref="K751:N751"/>
    <mergeCell ref="A1106:B1106"/>
    <mergeCell ref="AE969:AK969"/>
    <mergeCell ref="G761:J761"/>
    <mergeCell ref="AD767:AF767"/>
    <mergeCell ref="O754:S754"/>
    <mergeCell ref="O751:S751"/>
    <mergeCell ref="T751:W751"/>
    <mergeCell ref="X760:AB760"/>
    <mergeCell ref="K754:N754"/>
    <mergeCell ref="T754:W754"/>
    <mergeCell ref="R995:AA995"/>
    <mergeCell ref="T759:W759"/>
    <mergeCell ref="K756:N756"/>
    <mergeCell ref="M968:S968"/>
    <mergeCell ref="J966:S966"/>
    <mergeCell ref="AE968:AK968"/>
    <mergeCell ref="U929:Z929"/>
    <mergeCell ref="W869:AC869"/>
    <mergeCell ref="A1103:B1103"/>
    <mergeCell ref="AJ1000:AQ1000"/>
    <mergeCell ref="M969:S969"/>
    <mergeCell ref="AA976:AG976"/>
    <mergeCell ref="AE965:AK965"/>
    <mergeCell ref="AB996:AI996"/>
    <mergeCell ref="B1000:AA1000"/>
    <mergeCell ref="AG1038:AH1038"/>
    <mergeCell ref="D1046:AE1049"/>
    <mergeCell ref="AF1030:AI1031"/>
    <mergeCell ref="D1011:AE1015"/>
    <mergeCell ref="D1010:AE1010"/>
    <mergeCell ref="F839:L839"/>
    <mergeCell ref="U835:X835"/>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M981:S981"/>
    <mergeCell ref="U950:Z950"/>
    <mergeCell ref="AA952:AF952"/>
    <mergeCell ref="F951:T951"/>
    <mergeCell ref="U951:Z951"/>
    <mergeCell ref="U933:Z933"/>
    <mergeCell ref="U948:Z948"/>
    <mergeCell ref="U949:Z949"/>
    <mergeCell ref="AA947:AF947"/>
    <mergeCell ref="U932:Z932"/>
    <mergeCell ref="BD911:BE911"/>
    <mergeCell ref="BD909:BE909"/>
    <mergeCell ref="A1134:B1134"/>
    <mergeCell ref="G733:J733"/>
    <mergeCell ref="B740:F740"/>
    <mergeCell ref="T753:W753"/>
    <mergeCell ref="AH738:AJ738"/>
    <mergeCell ref="A1109:B1109"/>
    <mergeCell ref="T757:W757"/>
    <mergeCell ref="K758:N758"/>
    <mergeCell ref="X756:AB756"/>
    <mergeCell ref="X757:AB757"/>
    <mergeCell ref="J791:N794"/>
    <mergeCell ref="T798:W798"/>
    <mergeCell ref="T801:W801"/>
    <mergeCell ref="O783:S783"/>
    <mergeCell ref="AB926:AE926"/>
    <mergeCell ref="AA931:AF931"/>
    <mergeCell ref="M967:S967"/>
    <mergeCell ref="Z910:AE910"/>
    <mergeCell ref="J782:N782"/>
    <mergeCell ref="Q833:T833"/>
    <mergeCell ref="W879:AC879"/>
    <mergeCell ref="AC894:AH894"/>
    <mergeCell ref="M887:V887"/>
    <mergeCell ref="U955:Z955"/>
    <mergeCell ref="F955:H955"/>
    <mergeCell ref="AA953:AF953"/>
    <mergeCell ref="AA951:AF951"/>
    <mergeCell ref="F938:T938"/>
    <mergeCell ref="AC896:AH896"/>
    <mergeCell ref="Q839:T839"/>
    <mergeCell ref="Q838:T838"/>
    <mergeCell ref="AG839:AJ839"/>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M885:V885"/>
    <mergeCell ref="W877:AC877"/>
    <mergeCell ref="W881:AC881"/>
    <mergeCell ref="M884:V884"/>
    <mergeCell ref="W880:AC880"/>
    <mergeCell ref="AC902:AH902"/>
    <mergeCell ref="W857:AC857"/>
    <mergeCell ref="M886:V886"/>
    <mergeCell ref="W878:AC878"/>
    <mergeCell ref="U943:Z943"/>
    <mergeCell ref="AA938:AF938"/>
    <mergeCell ref="U939:Z939"/>
    <mergeCell ref="AA939:AF939"/>
    <mergeCell ref="M964:S964"/>
    <mergeCell ref="M834:P834"/>
    <mergeCell ref="M880:V880"/>
    <mergeCell ref="BG856:BL856"/>
    <mergeCell ref="CP810:CT810"/>
    <mergeCell ref="CP796:CT796"/>
    <mergeCell ref="CP802:CT802"/>
    <mergeCell ref="CP803:CT803"/>
    <mergeCell ref="U946:Z946"/>
    <mergeCell ref="AA946:AF946"/>
    <mergeCell ref="W883:AC883"/>
    <mergeCell ref="C845:AJ845"/>
    <mergeCell ref="W884:AC884"/>
    <mergeCell ref="T866:V866"/>
    <mergeCell ref="T868:V868"/>
    <mergeCell ref="W876:AC876"/>
    <mergeCell ref="AC802:AG802"/>
    <mergeCell ref="AC803:AG803"/>
    <mergeCell ref="T783:W783"/>
    <mergeCell ref="U831:X832"/>
    <mergeCell ref="AA945:AF945"/>
    <mergeCell ref="C901:AB901"/>
    <mergeCell ref="BD908:BE908"/>
    <mergeCell ref="BD910:BE910"/>
    <mergeCell ref="AC895:AH895"/>
    <mergeCell ref="AA940:AF940"/>
    <mergeCell ref="U941:Z941"/>
    <mergeCell ref="AA941:AF941"/>
    <mergeCell ref="AW927:AY927"/>
    <mergeCell ref="AA935:AF935"/>
    <mergeCell ref="U936:Z936"/>
    <mergeCell ref="AA936:AF936"/>
    <mergeCell ref="O804:S804"/>
    <mergeCell ref="AC837:AF837"/>
    <mergeCell ref="Y834:AB834"/>
    <mergeCell ref="BD913:BE913"/>
    <mergeCell ref="BD915:BF915"/>
    <mergeCell ref="BD914:BF914"/>
    <mergeCell ref="BD919:BE919"/>
    <mergeCell ref="BD912:BE912"/>
    <mergeCell ref="U838:X838"/>
    <mergeCell ref="J804:N804"/>
    <mergeCell ref="M831:P832"/>
    <mergeCell ref="U833:X833"/>
    <mergeCell ref="M833:P833"/>
    <mergeCell ref="AC834:AF834"/>
    <mergeCell ref="AC835:AF835"/>
    <mergeCell ref="C837:H837"/>
    <mergeCell ref="C836:H836"/>
    <mergeCell ref="W850:AC850"/>
    <mergeCell ref="AZ859:BA859"/>
    <mergeCell ref="AC898:AH898"/>
    <mergeCell ref="AC903:AH903"/>
    <mergeCell ref="Z908:AE908"/>
    <mergeCell ref="AC897:AH897"/>
    <mergeCell ref="W885:AC885"/>
    <mergeCell ref="M869:V869"/>
    <mergeCell ref="J857:V857"/>
    <mergeCell ref="W865:AC865"/>
    <mergeCell ref="M883:V883"/>
    <mergeCell ref="W859:AC859"/>
    <mergeCell ref="W863:AC863"/>
    <mergeCell ref="W860:AC860"/>
    <mergeCell ref="W862:AC862"/>
    <mergeCell ref="Z814:AE814"/>
    <mergeCell ref="U836:X836"/>
    <mergeCell ref="AG836:AJ836"/>
    <mergeCell ref="CP795:CT795"/>
    <mergeCell ref="CU783:CY783"/>
    <mergeCell ref="CZ754:DD754"/>
    <mergeCell ref="CP761:CT761"/>
    <mergeCell ref="DJ748:DN748"/>
    <mergeCell ref="DE742:DI742"/>
    <mergeCell ref="CI740:CJ740"/>
    <mergeCell ref="CI741:CJ741"/>
    <mergeCell ref="CK744:CL744"/>
    <mergeCell ref="CG742:CH742"/>
    <mergeCell ref="AK754:AO754"/>
    <mergeCell ref="CG739:CH739"/>
    <mergeCell ref="CG758:CH758"/>
    <mergeCell ref="CP739:CT739"/>
    <mergeCell ref="CZ740:DD740"/>
    <mergeCell ref="DE745:DI745"/>
    <mergeCell ref="CG749:CH749"/>
    <mergeCell ref="CI743:CJ743"/>
    <mergeCell ref="CG745:CH745"/>
    <mergeCell ref="CG750:CH750"/>
    <mergeCell ref="CI748:CJ748"/>
    <mergeCell ref="DJ742:DN742"/>
    <mergeCell ref="CI761:CJ761"/>
    <mergeCell ref="CK759:CL759"/>
    <mergeCell ref="CP783:CT783"/>
    <mergeCell ref="CP784:CT784"/>
    <mergeCell ref="DJ784:DN784"/>
    <mergeCell ref="CZ784:DD784"/>
    <mergeCell ref="DE795:DI795"/>
    <mergeCell ref="CZ760:DD760"/>
    <mergeCell ref="DJ754:DN754"/>
    <mergeCell ref="DE758:DI758"/>
    <mergeCell ref="CU782:CY782"/>
    <mergeCell ref="X791:AB794"/>
    <mergeCell ref="CU785:CY785"/>
    <mergeCell ref="CG735:CH735"/>
    <mergeCell ref="AK736:AO736"/>
    <mergeCell ref="CU737:CY737"/>
    <mergeCell ref="CM760:CN760"/>
    <mergeCell ref="CP760:CT760"/>
    <mergeCell ref="CP782:CT782"/>
    <mergeCell ref="DJ740:DN740"/>
    <mergeCell ref="CU740:CY740"/>
    <mergeCell ref="CG759:CH759"/>
    <mergeCell ref="CU746:CY746"/>
    <mergeCell ref="O741:S741"/>
    <mergeCell ref="K739:N739"/>
    <mergeCell ref="AH761:AJ761"/>
    <mergeCell ref="AK753:AO753"/>
    <mergeCell ref="AH749:AJ749"/>
    <mergeCell ref="AK748:AO748"/>
    <mergeCell ref="DJ739:DN739"/>
    <mergeCell ref="X749:AB749"/>
    <mergeCell ref="AH735:AJ735"/>
    <mergeCell ref="O747:S747"/>
    <mergeCell ref="O744:S744"/>
    <mergeCell ref="K746:N746"/>
    <mergeCell ref="T752:W752"/>
    <mergeCell ref="O755:S755"/>
    <mergeCell ref="DJ758:DN758"/>
    <mergeCell ref="CP741:CT741"/>
    <mergeCell ref="EW646:FA646"/>
    <mergeCell ref="ET733:EX733"/>
    <mergeCell ref="DU732:DY732"/>
    <mergeCell ref="DZ727:ED727"/>
    <mergeCell ref="EO738:ES738"/>
    <mergeCell ref="ET738:EX738"/>
    <mergeCell ref="EO732:ES732"/>
    <mergeCell ref="ET732:EX732"/>
    <mergeCell ref="EO734:ES734"/>
    <mergeCell ref="DZ734:ED734"/>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CK748:CL748"/>
    <mergeCell ref="AF635:AJ635"/>
    <mergeCell ref="CG760:CH760"/>
    <mergeCell ref="AC839:AF839"/>
    <mergeCell ref="AH742:AJ742"/>
    <mergeCell ref="AC640:AE640"/>
    <mergeCell ref="CI725:CJ725"/>
    <mergeCell ref="AA688:AK688"/>
    <mergeCell ref="Z670:AK670"/>
    <mergeCell ref="EM669:EQ669"/>
    <mergeCell ref="ER678:EV678"/>
    <mergeCell ref="DX677:EB677"/>
    <mergeCell ref="EC678:EG678"/>
    <mergeCell ref="EH678:EL678"/>
    <mergeCell ref="ER664:EV664"/>
    <mergeCell ref="EC677:EG677"/>
    <mergeCell ref="EH677:EL677"/>
    <mergeCell ref="EM677:EQ677"/>
    <mergeCell ref="EO726:ES726"/>
    <mergeCell ref="DU728:DY728"/>
    <mergeCell ref="DU742:DY742"/>
    <mergeCell ref="DU741:DY741"/>
    <mergeCell ref="DU733:DY733"/>
    <mergeCell ref="DZ733:ED733"/>
    <mergeCell ref="DU731:DY731"/>
    <mergeCell ref="DJ733:DN733"/>
    <mergeCell ref="DU739:DY739"/>
    <mergeCell ref="DU740:DY740"/>
    <mergeCell ref="EJ741:EN741"/>
    <mergeCell ref="ET729:EX729"/>
    <mergeCell ref="ET728:EX728"/>
    <mergeCell ref="EO735:ES735"/>
    <mergeCell ref="DZ737:ED737"/>
    <mergeCell ref="EO733:ES733"/>
    <mergeCell ref="EJ732:EN732"/>
    <mergeCell ref="EO731:ES731"/>
    <mergeCell ref="DU734:DY734"/>
    <mergeCell ref="DJ728:DN728"/>
    <mergeCell ref="DJ725:DN725"/>
    <mergeCell ref="DJ730:DN730"/>
    <mergeCell ref="DO728:DS728"/>
    <mergeCell ref="CI731:CJ731"/>
    <mergeCell ref="AC730:AG730"/>
    <mergeCell ref="CU734:CY734"/>
    <mergeCell ref="CZ734:DD734"/>
    <mergeCell ref="AK727:AO727"/>
    <mergeCell ref="DJ731:DN731"/>
    <mergeCell ref="DJ732:DN732"/>
    <mergeCell ref="DE728:DI728"/>
    <mergeCell ref="DE732:DI732"/>
    <mergeCell ref="CI734:CJ734"/>
    <mergeCell ref="CG734:CH734"/>
    <mergeCell ref="CZ729:DD729"/>
    <mergeCell ref="DJ727:DN727"/>
    <mergeCell ref="DE730:DI730"/>
    <mergeCell ref="CM736:CN736"/>
    <mergeCell ref="CZ736:DD736"/>
    <mergeCell ref="DG122:DM122"/>
    <mergeCell ref="AK639:AN639"/>
    <mergeCell ref="AK640:AN640"/>
    <mergeCell ref="AF640:AJ640"/>
    <mergeCell ref="AC639:AE639"/>
    <mergeCell ref="DE725:DI725"/>
    <mergeCell ref="DE729:DI729"/>
    <mergeCell ref="DE731:DI731"/>
    <mergeCell ref="AK734:AO734"/>
    <mergeCell ref="CU729:CY729"/>
    <mergeCell ref="Z604:AK604"/>
    <mergeCell ref="Z602:AK602"/>
    <mergeCell ref="Z596:AK596"/>
    <mergeCell ref="AO639:AS639"/>
    <mergeCell ref="AC642:AE642"/>
    <mergeCell ref="AM564:AS564"/>
    <mergeCell ref="CM737:CN737"/>
    <mergeCell ref="DJ734:DN734"/>
    <mergeCell ref="CG733:CH733"/>
    <mergeCell ref="CZ731:DD731"/>
    <mergeCell ref="AK730:AO730"/>
    <mergeCell ref="AK729:AO729"/>
    <mergeCell ref="EH652:EL652"/>
    <mergeCell ref="EH651:EL651"/>
    <mergeCell ref="EH660:EL660"/>
    <mergeCell ref="Z687:AE687"/>
    <mergeCell ref="Z678:AK678"/>
    <mergeCell ref="EC672:EG672"/>
    <mergeCell ref="EC649:EG649"/>
    <mergeCell ref="EC651:EG651"/>
    <mergeCell ref="EC650:EG650"/>
    <mergeCell ref="DX676:EB676"/>
    <mergeCell ref="EC676:EG676"/>
    <mergeCell ref="DX654:EB654"/>
    <mergeCell ref="DO725:DS725"/>
    <mergeCell ref="DJ736:DN736"/>
    <mergeCell ref="CM732:CN732"/>
    <mergeCell ref="CG732:CH732"/>
    <mergeCell ref="CZ733:DD733"/>
    <mergeCell ref="CP736:CT736"/>
    <mergeCell ref="CU736:CY736"/>
    <mergeCell ref="DO733:DS733"/>
    <mergeCell ref="CP727:CT727"/>
    <mergeCell ref="CZ727:DD727"/>
    <mergeCell ref="CP729:CT729"/>
    <mergeCell ref="DO736:DS736"/>
    <mergeCell ref="DO731:DS731"/>
    <mergeCell ref="DO732:DS732"/>
    <mergeCell ref="EH648:EL648"/>
    <mergeCell ref="CU725:CY725"/>
    <mergeCell ref="CU730:CY730"/>
    <mergeCell ref="CZ730:DD730"/>
    <mergeCell ref="Z691:AK691"/>
    <mergeCell ref="DX663:EB663"/>
    <mergeCell ref="DX664:EB664"/>
    <mergeCell ref="EC664:EG664"/>
    <mergeCell ref="EH664:EL664"/>
    <mergeCell ref="EH653:EL653"/>
    <mergeCell ref="DO729:DS729"/>
    <mergeCell ref="DX653:EB653"/>
    <mergeCell ref="DJ726:DN726"/>
    <mergeCell ref="AA656:AK656"/>
    <mergeCell ref="CU726:CY726"/>
    <mergeCell ref="CP725:CT725"/>
    <mergeCell ref="AH726:AJ726"/>
    <mergeCell ref="AC726:AG726"/>
    <mergeCell ref="AK722:AO725"/>
    <mergeCell ref="AK726:AO726"/>
    <mergeCell ref="Z677:AK677"/>
    <mergeCell ref="E715:AK715"/>
    <mergeCell ref="W714:AK714"/>
    <mergeCell ref="CK730:CL730"/>
    <mergeCell ref="CK727:CL727"/>
    <mergeCell ref="CZ728:DD728"/>
    <mergeCell ref="DX672:EB672"/>
    <mergeCell ref="EH654:EL654"/>
    <mergeCell ref="EC653:EG653"/>
    <mergeCell ref="DO730:DS730"/>
    <mergeCell ref="AC645:AE645"/>
    <mergeCell ref="Z653:AK653"/>
    <mergeCell ref="Z684:AK684"/>
    <mergeCell ref="AF644:AJ644"/>
    <mergeCell ref="H680:R680"/>
    <mergeCell ref="G659:R659"/>
    <mergeCell ref="G660:R660"/>
    <mergeCell ref="J712:X712"/>
    <mergeCell ref="T722:W725"/>
    <mergeCell ref="H672:R672"/>
    <mergeCell ref="G686:R686"/>
    <mergeCell ref="P687:R687"/>
    <mergeCell ref="G667:R667"/>
    <mergeCell ref="P679:R679"/>
    <mergeCell ref="K727:N727"/>
    <mergeCell ref="G668:R668"/>
    <mergeCell ref="O729:S729"/>
    <mergeCell ref="G653:R653"/>
    <mergeCell ref="AI671:AK671"/>
    <mergeCell ref="B649:AN649"/>
    <mergeCell ref="G651:R651"/>
    <mergeCell ref="K726:N726"/>
    <mergeCell ref="G726:J726"/>
    <mergeCell ref="G678:R678"/>
    <mergeCell ref="Z644:AB644"/>
    <mergeCell ref="Z645:AB645"/>
    <mergeCell ref="Z646:AB646"/>
    <mergeCell ref="AK635:AN635"/>
    <mergeCell ref="AO636:AS636"/>
    <mergeCell ref="Z695:AE695"/>
    <mergeCell ref="AK638:AN638"/>
    <mergeCell ref="CM727:CN727"/>
    <mergeCell ref="CM729:CN729"/>
    <mergeCell ref="Z618:AK618"/>
    <mergeCell ref="M642:P642"/>
    <mergeCell ref="Z669:AK669"/>
    <mergeCell ref="Q642:S642"/>
    <mergeCell ref="AK644:AN644"/>
    <mergeCell ref="EM651:EQ651"/>
    <mergeCell ref="DX670:EB670"/>
    <mergeCell ref="DX667:EB667"/>
    <mergeCell ref="EC662:EG662"/>
    <mergeCell ref="EM657:EQ657"/>
    <mergeCell ref="EM662:EQ662"/>
    <mergeCell ref="DE727:DI727"/>
    <mergeCell ref="DO727:DS727"/>
    <mergeCell ref="EO729:ES729"/>
    <mergeCell ref="EC645:EG645"/>
    <mergeCell ref="EH645:EL645"/>
    <mergeCell ref="CU727:CY727"/>
    <mergeCell ref="DJ729:DN729"/>
    <mergeCell ref="W711:AK711"/>
    <mergeCell ref="AC728:AG728"/>
    <mergeCell ref="CG727:CH727"/>
    <mergeCell ref="CI729:CJ729"/>
    <mergeCell ref="AA696:AK696"/>
    <mergeCell ref="AE710:AF710"/>
    <mergeCell ref="CG726:CH726"/>
    <mergeCell ref="AE702:AF702"/>
    <mergeCell ref="G679:L679"/>
    <mergeCell ref="CM735:CN735"/>
    <mergeCell ref="CK734:CL734"/>
    <mergeCell ref="Z692:AK692"/>
    <mergeCell ref="AK728:AO728"/>
    <mergeCell ref="W708:AK708"/>
    <mergeCell ref="T729:W729"/>
    <mergeCell ref="AE703:AI703"/>
    <mergeCell ref="CK731:CL731"/>
    <mergeCell ref="CK729:CL729"/>
    <mergeCell ref="CM726:CN726"/>
    <mergeCell ref="Z679:AE679"/>
    <mergeCell ref="AF646:AJ646"/>
    <mergeCell ref="Z675:AK675"/>
    <mergeCell ref="AC646:AE646"/>
    <mergeCell ref="Z661:AK661"/>
    <mergeCell ref="AF641:AJ641"/>
    <mergeCell ref="A717:AT719"/>
    <mergeCell ref="R713:T713"/>
    <mergeCell ref="T726:W726"/>
    <mergeCell ref="G677:R677"/>
    <mergeCell ref="Z652:AK652"/>
    <mergeCell ref="G685:R685"/>
    <mergeCell ref="Z686:AK686"/>
    <mergeCell ref="K729:N729"/>
    <mergeCell ref="AE701:AF701"/>
    <mergeCell ref="AF645:AJ645"/>
    <mergeCell ref="AC644:AE644"/>
    <mergeCell ref="Z655:AE655"/>
    <mergeCell ref="AG681:AH681"/>
    <mergeCell ref="Z676:AK676"/>
    <mergeCell ref="AA680:AK680"/>
    <mergeCell ref="H606:R606"/>
    <mergeCell ref="G611:R611"/>
    <mergeCell ref="AC637:AE637"/>
    <mergeCell ref="G617:R617"/>
    <mergeCell ref="M636:P636"/>
    <mergeCell ref="Z613:AE613"/>
    <mergeCell ref="Z617:AK617"/>
    <mergeCell ref="N615:O615"/>
    <mergeCell ref="Q632:S634"/>
    <mergeCell ref="Z663:AE663"/>
    <mergeCell ref="AG673:AH673"/>
    <mergeCell ref="Z685:AK685"/>
    <mergeCell ref="B632:L634"/>
    <mergeCell ref="T641:V641"/>
    <mergeCell ref="G675:R675"/>
    <mergeCell ref="G655:L655"/>
    <mergeCell ref="Q646:S646"/>
    <mergeCell ref="H656:R656"/>
    <mergeCell ref="Z640:AB640"/>
    <mergeCell ref="C645:L645"/>
    <mergeCell ref="C640:L640"/>
    <mergeCell ref="M640:P640"/>
    <mergeCell ref="Q641:S641"/>
    <mergeCell ref="AF639:AJ639"/>
    <mergeCell ref="Z637:AB637"/>
    <mergeCell ref="AI679:AK679"/>
    <mergeCell ref="Z612:AK612"/>
    <mergeCell ref="T646:V646"/>
    <mergeCell ref="M646:P646"/>
    <mergeCell ref="W646:Y646"/>
    <mergeCell ref="AK645:AN645"/>
    <mergeCell ref="M638:P638"/>
    <mergeCell ref="G609:R609"/>
    <mergeCell ref="AA581:AK581"/>
    <mergeCell ref="AG607:AH607"/>
    <mergeCell ref="Z585:AK585"/>
    <mergeCell ref="G577:R577"/>
    <mergeCell ref="G578:R578"/>
    <mergeCell ref="G579:R579"/>
    <mergeCell ref="Z580:AE580"/>
    <mergeCell ref="G593:R593"/>
    <mergeCell ref="AG583:AH583"/>
    <mergeCell ref="H598:R598"/>
    <mergeCell ref="G597:L597"/>
    <mergeCell ref="AE562:AH562"/>
    <mergeCell ref="T570:V570"/>
    <mergeCell ref="AO644:AS644"/>
    <mergeCell ref="CZ726:DD726"/>
    <mergeCell ref="AO649:AS649"/>
    <mergeCell ref="Z659:AK659"/>
    <mergeCell ref="AK646:AN646"/>
    <mergeCell ref="CM725:CN725"/>
    <mergeCell ref="G589:L589"/>
    <mergeCell ref="C571:L571"/>
    <mergeCell ref="AE573:AH573"/>
    <mergeCell ref="G586:R586"/>
    <mergeCell ref="AE572:AH572"/>
    <mergeCell ref="T636:V636"/>
    <mergeCell ref="AA598:AK598"/>
    <mergeCell ref="AI597:AK597"/>
    <mergeCell ref="AG591:AH591"/>
    <mergeCell ref="G595:R595"/>
    <mergeCell ref="G596:R596"/>
    <mergeCell ref="N607:O607"/>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G610:R610"/>
    <mergeCell ref="AC643:AE643"/>
    <mergeCell ref="W643:Y643"/>
    <mergeCell ref="Z605:AE605"/>
    <mergeCell ref="AF637:AJ637"/>
    <mergeCell ref="T637:V637"/>
    <mergeCell ref="M582:R582"/>
    <mergeCell ref="Z621:AE621"/>
    <mergeCell ref="N623:O623"/>
    <mergeCell ref="H622:R622"/>
    <mergeCell ref="P597:R597"/>
    <mergeCell ref="AA606:AK606"/>
    <mergeCell ref="C636:L636"/>
    <mergeCell ref="C568:L568"/>
    <mergeCell ref="M635:P635"/>
    <mergeCell ref="M637:P637"/>
    <mergeCell ref="W632:Y63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7:AK667"/>
    <mergeCell ref="M645:P645"/>
    <mergeCell ref="P655:R655"/>
    <mergeCell ref="AI655:AK655"/>
    <mergeCell ref="G662:R662"/>
    <mergeCell ref="G661:R661"/>
    <mergeCell ref="AF642:AJ642"/>
    <mergeCell ref="W645:Y645"/>
    <mergeCell ref="AG665:AH665"/>
    <mergeCell ref="AO641:AS641"/>
    <mergeCell ref="M639:P639"/>
    <mergeCell ref="T632:V634"/>
    <mergeCell ref="W635:Y635"/>
    <mergeCell ref="CU744:CY744"/>
    <mergeCell ref="CP731:CT731"/>
    <mergeCell ref="CU735:CY735"/>
    <mergeCell ref="CK732:CL732"/>
    <mergeCell ref="DE738:DI738"/>
    <mergeCell ref="CM738:CN738"/>
    <mergeCell ref="CK735:CL735"/>
    <mergeCell ref="CK749:CL749"/>
    <mergeCell ref="CM749:CN749"/>
    <mergeCell ref="CP732:CT732"/>
    <mergeCell ref="CP735:CT735"/>
    <mergeCell ref="CI735:CJ735"/>
    <mergeCell ref="CZ743:DD743"/>
    <mergeCell ref="CU742:CY742"/>
    <mergeCell ref="CP744:CT744"/>
    <mergeCell ref="CM745:CN745"/>
    <mergeCell ref="CU745:CY745"/>
    <mergeCell ref="CM744:CN744"/>
    <mergeCell ref="CI746:CJ746"/>
    <mergeCell ref="CM741:CN741"/>
    <mergeCell ref="CU733:CY733"/>
    <mergeCell ref="CP738:CT738"/>
    <mergeCell ref="CU739:CY739"/>
    <mergeCell ref="CM740:CN740"/>
    <mergeCell ref="CP734:CT734"/>
    <mergeCell ref="CK740:CL740"/>
    <mergeCell ref="CP733:CT733"/>
    <mergeCell ref="CZ735:DD735"/>
    <mergeCell ref="CP740:CT740"/>
    <mergeCell ref="CM739:CN739"/>
    <mergeCell ref="CU731:CY731"/>
    <mergeCell ref="CZ732:DD732"/>
    <mergeCell ref="DJ741:DN741"/>
    <mergeCell ref="CM731:CN731"/>
    <mergeCell ref="CM733:CN733"/>
    <mergeCell ref="CU738:CY738"/>
    <mergeCell ref="CK736:CL736"/>
    <mergeCell ref="CZ737:DD737"/>
    <mergeCell ref="CZ739:DD739"/>
    <mergeCell ref="CK739:CL739"/>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CI738:CJ738"/>
    <mergeCell ref="CI744:CJ744"/>
    <mergeCell ref="CU743:CY743"/>
    <mergeCell ref="CP743:CT743"/>
    <mergeCell ref="CK743:CL743"/>
    <mergeCell ref="CK737:CL737"/>
    <mergeCell ref="CU732:CY732"/>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G683:R683"/>
    <mergeCell ref="G727:J727"/>
    <mergeCell ref="CI733:CJ733"/>
    <mergeCell ref="G692:R692"/>
    <mergeCell ref="G731:J731"/>
    <mergeCell ref="CI737:CJ737"/>
    <mergeCell ref="T727:W727"/>
    <mergeCell ref="P671:R671"/>
    <mergeCell ref="K735:N735"/>
    <mergeCell ref="K734:N734"/>
    <mergeCell ref="AC737:AG737"/>
    <mergeCell ref="O736:S736"/>
    <mergeCell ref="O734:S734"/>
    <mergeCell ref="K738:N738"/>
    <mergeCell ref="O735:S735"/>
    <mergeCell ref="AC735:AG735"/>
    <mergeCell ref="X732:AB732"/>
    <mergeCell ref="AH732:AJ732"/>
    <mergeCell ref="K733:N733"/>
    <mergeCell ref="X728:AB728"/>
    <mergeCell ref="X730:AB730"/>
    <mergeCell ref="AC729:AG729"/>
    <mergeCell ref="AH728:AJ728"/>
    <mergeCell ref="AH729:AJ729"/>
    <mergeCell ref="AC731:AG731"/>
    <mergeCell ref="K736:N736"/>
    <mergeCell ref="K730:N730"/>
    <mergeCell ref="K731:N731"/>
    <mergeCell ref="T731:W731"/>
    <mergeCell ref="T734:W734"/>
    <mergeCell ref="B730:F730"/>
    <mergeCell ref="B736:F736"/>
    <mergeCell ref="K745:N745"/>
    <mergeCell ref="P695:R695"/>
    <mergeCell ref="X729:AB729"/>
    <mergeCell ref="X735:AB735"/>
    <mergeCell ref="K728:N728"/>
    <mergeCell ref="O733:S733"/>
    <mergeCell ref="G744:J744"/>
    <mergeCell ref="W855:AC855"/>
    <mergeCell ref="W853:AC853"/>
    <mergeCell ref="M854:V854"/>
    <mergeCell ref="W854:AC854"/>
    <mergeCell ref="C834:H834"/>
    <mergeCell ref="M838:P838"/>
    <mergeCell ref="C840:L840"/>
    <mergeCell ref="Y839:AB839"/>
    <mergeCell ref="Q837:T837"/>
    <mergeCell ref="Y837:AB837"/>
    <mergeCell ref="U837:X837"/>
    <mergeCell ref="Q836:T836"/>
    <mergeCell ref="U834:X834"/>
    <mergeCell ref="AC805:AG805"/>
    <mergeCell ref="AC795:AG795"/>
    <mergeCell ref="O805:S805"/>
    <mergeCell ref="O732:S732"/>
    <mergeCell ref="T733:W733"/>
    <mergeCell ref="T737:W737"/>
    <mergeCell ref="T730:W730"/>
    <mergeCell ref="K737:N737"/>
    <mergeCell ref="N697:O697"/>
    <mergeCell ref="O726:S726"/>
    <mergeCell ref="O802:S802"/>
    <mergeCell ref="X797:AB797"/>
    <mergeCell ref="Z821:AE821"/>
    <mergeCell ref="C806:AN807"/>
    <mergeCell ref="J801:N801"/>
    <mergeCell ref="X801:AB801"/>
    <mergeCell ref="Q835:T835"/>
    <mergeCell ref="M836:P836"/>
    <mergeCell ref="M835:P835"/>
    <mergeCell ref="AC800:AG800"/>
    <mergeCell ref="O795:S795"/>
    <mergeCell ref="Q834:T834"/>
    <mergeCell ref="Y831:AB832"/>
    <mergeCell ref="Z823:AE823"/>
    <mergeCell ref="Z816:AE816"/>
    <mergeCell ref="Q831:T832"/>
    <mergeCell ref="Z817:AE817"/>
    <mergeCell ref="O799:S799"/>
    <mergeCell ref="Z822:AE822"/>
    <mergeCell ref="Z825:AE825"/>
    <mergeCell ref="P824:Y824"/>
    <mergeCell ref="O801:S801"/>
    <mergeCell ref="T802:W802"/>
    <mergeCell ref="T800:W800"/>
    <mergeCell ref="C833:H833"/>
    <mergeCell ref="Z826:AE826"/>
    <mergeCell ref="T803:W803"/>
    <mergeCell ref="J805:N805"/>
    <mergeCell ref="J803:N803"/>
    <mergeCell ref="O803:S803"/>
    <mergeCell ref="AG831:AJ832"/>
    <mergeCell ref="O782:S782"/>
    <mergeCell ref="O798:S798"/>
    <mergeCell ref="AC749:AG749"/>
    <mergeCell ref="AC745:AG745"/>
    <mergeCell ref="AC761:AG761"/>
    <mergeCell ref="O761:S761"/>
    <mergeCell ref="AC750:AG750"/>
    <mergeCell ref="AC751:AG751"/>
    <mergeCell ref="AC752:AG752"/>
    <mergeCell ref="AC753:AG753"/>
    <mergeCell ref="AC754:AG754"/>
    <mergeCell ref="O737:S737"/>
    <mergeCell ref="T791:W794"/>
    <mergeCell ref="X781:AB781"/>
    <mergeCell ref="O797:S797"/>
    <mergeCell ref="T799:W799"/>
    <mergeCell ref="T795:W795"/>
    <mergeCell ref="T796:W796"/>
    <mergeCell ref="T797:W797"/>
    <mergeCell ref="X795:AB795"/>
    <mergeCell ref="AC785:AG785"/>
    <mergeCell ref="O785:S785"/>
    <mergeCell ref="X745:AB745"/>
    <mergeCell ref="O749:S749"/>
    <mergeCell ref="O758:S758"/>
    <mergeCell ref="T748:W748"/>
    <mergeCell ref="O750:S750"/>
    <mergeCell ref="AC755:AG755"/>
    <mergeCell ref="G734:J734"/>
    <mergeCell ref="K741:N741"/>
    <mergeCell ref="O756:S756"/>
    <mergeCell ref="J777:N780"/>
    <mergeCell ref="X777:AB780"/>
    <mergeCell ref="T777:W780"/>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O722:S725"/>
    <mergeCell ref="G669:R669"/>
    <mergeCell ref="B728:F728"/>
    <mergeCell ref="O731:S731"/>
    <mergeCell ref="K760:N760"/>
    <mergeCell ref="T760:W760"/>
    <mergeCell ref="G732:J732"/>
    <mergeCell ref="G722:J725"/>
    <mergeCell ref="G676:R676"/>
    <mergeCell ref="AH753:AJ753"/>
    <mergeCell ref="AH754:AJ754"/>
    <mergeCell ref="G691:R691"/>
    <mergeCell ref="N689:O689"/>
    <mergeCell ref="J798:N798"/>
    <mergeCell ref="G742:J742"/>
    <mergeCell ref="K753:N753"/>
    <mergeCell ref="G749:J749"/>
    <mergeCell ref="AC801:AG801"/>
    <mergeCell ref="X783:AB783"/>
    <mergeCell ref="X784:AB784"/>
    <mergeCell ref="J797:N797"/>
    <mergeCell ref="X803:AB803"/>
    <mergeCell ref="O800:S800"/>
    <mergeCell ref="J799:N799"/>
    <mergeCell ref="X800:AB800"/>
    <mergeCell ref="O743:S743"/>
    <mergeCell ref="K759:N759"/>
    <mergeCell ref="O759:S759"/>
    <mergeCell ref="J783:N783"/>
    <mergeCell ref="AC784:AG784"/>
    <mergeCell ref="O791:S794"/>
    <mergeCell ref="J785:N785"/>
    <mergeCell ref="K752:N752"/>
    <mergeCell ref="O752:S752"/>
    <mergeCell ref="X802:AB802"/>
    <mergeCell ref="AC797:AG797"/>
    <mergeCell ref="AC798:AG798"/>
    <mergeCell ref="T784:W784"/>
    <mergeCell ref="T782:W782"/>
    <mergeCell ref="AC782:AG782"/>
    <mergeCell ref="AC799:AG799"/>
    <mergeCell ref="J802:N802"/>
    <mergeCell ref="X785:AB785"/>
    <mergeCell ref="AC791:AG794"/>
    <mergeCell ref="X796:AB796"/>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Y809:AC809"/>
    <mergeCell ref="Y808:AC808"/>
    <mergeCell ref="T749:W749"/>
    <mergeCell ref="AC804:AG804"/>
    <mergeCell ref="AC796:AG796"/>
    <mergeCell ref="T728:W728"/>
    <mergeCell ref="G730:J730"/>
    <mergeCell ref="B737:F737"/>
    <mergeCell ref="B739:F739"/>
    <mergeCell ref="B738:F738"/>
    <mergeCell ref="X727:AB727"/>
    <mergeCell ref="G694:R694"/>
    <mergeCell ref="C643:L643"/>
    <mergeCell ref="X804:AB804"/>
    <mergeCell ref="T804:W804"/>
    <mergeCell ref="AC783:AG783"/>
    <mergeCell ref="AH759:AJ759"/>
    <mergeCell ref="AG697:AH697"/>
    <mergeCell ref="B749:F749"/>
    <mergeCell ref="T642:V642"/>
    <mergeCell ref="Q564:S564"/>
    <mergeCell ref="M562:P562"/>
    <mergeCell ref="W473:Y473"/>
    <mergeCell ref="W477:Y477"/>
    <mergeCell ref="Q500:AK500"/>
    <mergeCell ref="AF427:AH427"/>
    <mergeCell ref="AC536:AF536"/>
    <mergeCell ref="C562:L562"/>
    <mergeCell ref="D455:AF455"/>
    <mergeCell ref="D456:AF456"/>
    <mergeCell ref="W474:Y474"/>
    <mergeCell ref="AG455:AJ455"/>
    <mergeCell ref="W475:Y475"/>
    <mergeCell ref="W478:Y478"/>
    <mergeCell ref="T563:V563"/>
    <mergeCell ref="D415:AJ416"/>
    <mergeCell ref="D454:AF454"/>
    <mergeCell ref="D460:AJ461"/>
    <mergeCell ref="D448:AF448"/>
    <mergeCell ref="AG456:AJ456"/>
    <mergeCell ref="AC463:AF463"/>
    <mergeCell ref="T564:V564"/>
    <mergeCell ref="W559:Y561"/>
    <mergeCell ref="D458:AF458"/>
    <mergeCell ref="AG458:AJ458"/>
    <mergeCell ref="Z563:AD563"/>
    <mergeCell ref="AH536:AK536"/>
    <mergeCell ref="AH529:AK529"/>
    <mergeCell ref="AH533:AK533"/>
    <mergeCell ref="M559:P561"/>
    <mergeCell ref="AC544:AF544"/>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P430:R430"/>
    <mergeCell ref="V390:W390"/>
    <mergeCell ref="Z443:AA443"/>
    <mergeCell ref="G482:V482"/>
    <mergeCell ref="AC465:AF465"/>
    <mergeCell ref="Q402:U402"/>
    <mergeCell ref="Q398:U398"/>
    <mergeCell ref="AG389:AH389"/>
    <mergeCell ref="AJ366:AK366"/>
    <mergeCell ref="D453:AF453"/>
    <mergeCell ref="R420:S420"/>
    <mergeCell ref="AI406:AJ406"/>
    <mergeCell ref="T408:AJ408"/>
    <mergeCell ref="M364:N364"/>
    <mergeCell ref="J376:K376"/>
    <mergeCell ref="M269:AE269"/>
    <mergeCell ref="AA274:AK274"/>
    <mergeCell ref="M270:T270"/>
    <mergeCell ref="AI316:AK316"/>
    <mergeCell ref="P433:Q433"/>
    <mergeCell ref="H325:M325"/>
    <mergeCell ref="M263:AE263"/>
    <mergeCell ref="AH271:AK271"/>
    <mergeCell ref="T276:X276"/>
    <mergeCell ref="AA300:AF300"/>
    <mergeCell ref="AI300:AK300"/>
    <mergeCell ref="AA332:AF332"/>
    <mergeCell ref="H332:M332"/>
    <mergeCell ref="H333:M333"/>
    <mergeCell ref="AA342:AK342"/>
    <mergeCell ref="H348:M348"/>
    <mergeCell ref="Q403:U403"/>
    <mergeCell ref="AD421:AE421"/>
    <mergeCell ref="H423:AE424"/>
    <mergeCell ref="AA348:AF348"/>
    <mergeCell ref="M272:R272"/>
    <mergeCell ref="M274:T274"/>
    <mergeCell ref="AA325:AF325"/>
    <mergeCell ref="AA306:AK306"/>
    <mergeCell ref="AA334:AK334"/>
    <mergeCell ref="H324:M324"/>
    <mergeCell ref="L285:S285"/>
    <mergeCell ref="L287:Q287"/>
    <mergeCell ref="T287:V287"/>
    <mergeCell ref="P300:R300"/>
    <mergeCell ref="H300:M300"/>
    <mergeCell ref="H342:R342"/>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H263:AK263"/>
    <mergeCell ref="M268:AE268"/>
    <mergeCell ref="L289:AD289"/>
    <mergeCell ref="L284:AD284"/>
    <mergeCell ref="V285:W285"/>
    <mergeCell ref="L286:AD286"/>
    <mergeCell ref="Z272:AE272"/>
    <mergeCell ref="M262:T262"/>
    <mergeCell ref="L283:AJ283"/>
    <mergeCell ref="M261:AE261"/>
    <mergeCell ref="AF260:AK260"/>
    <mergeCell ref="AC262:AE262"/>
    <mergeCell ref="T195:U195"/>
    <mergeCell ref="E187:AE188"/>
    <mergeCell ref="I189:P189"/>
    <mergeCell ref="AH197:AI197"/>
    <mergeCell ref="Z205:AN205"/>
    <mergeCell ref="A231:AT232"/>
    <mergeCell ref="AA266:AK266"/>
    <mergeCell ref="M242:AE24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M253:AE253"/>
    <mergeCell ref="M256:R256"/>
    <mergeCell ref="O159:T159"/>
    <mergeCell ref="P113:S113"/>
    <mergeCell ref="AF252:AK252"/>
    <mergeCell ref="M243:T243"/>
    <mergeCell ref="W243:X243"/>
    <mergeCell ref="T212:U212"/>
    <mergeCell ref="F150:T150"/>
    <mergeCell ref="AA247:AK247"/>
    <mergeCell ref="AH255:AK255"/>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X180:Y180"/>
    <mergeCell ref="AP205:AQ205"/>
    <mergeCell ref="AI238:AJ238"/>
    <mergeCell ref="U175:V175"/>
    <mergeCell ref="R177:S177"/>
    <mergeCell ref="U245:W245"/>
    <mergeCell ref="T189:AE189"/>
    <mergeCell ref="Y120:AK120"/>
    <mergeCell ref="O160:T160"/>
    <mergeCell ref="AI178:AK178"/>
    <mergeCell ref="O153:AH153"/>
    <mergeCell ref="O154:AH154"/>
    <mergeCell ref="Y123:AK123"/>
    <mergeCell ref="M246:AE246"/>
    <mergeCell ref="AA258:AK258"/>
    <mergeCell ref="M257:AE257"/>
    <mergeCell ref="M260:AE260"/>
    <mergeCell ref="M252:AE252"/>
    <mergeCell ref="D204:M204"/>
    <mergeCell ref="M247:T247"/>
    <mergeCell ref="T197:U197"/>
    <mergeCell ref="W262:X262"/>
    <mergeCell ref="W270:X270"/>
    <mergeCell ref="U272:W272"/>
    <mergeCell ref="M266:T266"/>
    <mergeCell ref="M265:AE265"/>
    <mergeCell ref="AA317:AF317"/>
    <mergeCell ref="J173:S173"/>
    <mergeCell ref="O155:AH155"/>
    <mergeCell ref="X198:AT199"/>
    <mergeCell ref="AH194:AI194"/>
    <mergeCell ref="H301:M301"/>
    <mergeCell ref="H308:M308"/>
    <mergeCell ref="H309:M309"/>
    <mergeCell ref="AA315:AK315"/>
    <mergeCell ref="AA312:AK312"/>
    <mergeCell ref="AA307:AK307"/>
    <mergeCell ref="AA301:AF301"/>
    <mergeCell ref="AC220:AQ220"/>
    <mergeCell ref="D205:M205"/>
    <mergeCell ref="J174:AB174"/>
    <mergeCell ref="V225:W225"/>
    <mergeCell ref="V224:W224"/>
    <mergeCell ref="D208:M208"/>
    <mergeCell ref="N191:AE192"/>
    <mergeCell ref="D211:M211"/>
    <mergeCell ref="AI237:AJ237"/>
    <mergeCell ref="M244:AE244"/>
    <mergeCell ref="I185:AE185"/>
    <mergeCell ref="V226:W226"/>
    <mergeCell ref="V227:W227"/>
    <mergeCell ref="V228:W228"/>
    <mergeCell ref="V229:W229"/>
    <mergeCell ref="P205:U205"/>
    <mergeCell ref="T200:U200"/>
    <mergeCell ref="D279:H279"/>
    <mergeCell ref="X279:AC279"/>
    <mergeCell ref="H317:M317"/>
    <mergeCell ref="P316:R316"/>
    <mergeCell ref="U264:W264"/>
    <mergeCell ref="P308:R308"/>
    <mergeCell ref="H302:R302"/>
    <mergeCell ref="M273:AE273"/>
    <mergeCell ref="AB285:AD285"/>
    <mergeCell ref="Y287:AD287"/>
    <mergeCell ref="AA304:AK304"/>
    <mergeCell ref="T193:AI193"/>
    <mergeCell ref="AI236:AJ236"/>
    <mergeCell ref="AF268:AK268"/>
    <mergeCell ref="AC270:AE270"/>
    <mergeCell ref="M271:AE271"/>
    <mergeCell ref="AA308:AF308"/>
    <mergeCell ref="AI308:AK308"/>
    <mergeCell ref="H297:R297"/>
    <mergeCell ref="H298:R298"/>
    <mergeCell ref="H299:R299"/>
    <mergeCell ref="AI348:AK348"/>
    <mergeCell ref="P357:Z357"/>
    <mergeCell ref="N382:AF383"/>
    <mergeCell ref="AJ364:AK364"/>
    <mergeCell ref="AG451:AJ451"/>
    <mergeCell ref="AG386:AH386"/>
    <mergeCell ref="E427:G427"/>
    <mergeCell ref="AD420:AE420"/>
    <mergeCell ref="F436:AH437"/>
    <mergeCell ref="AC356:AE356"/>
    <mergeCell ref="P352:AE352"/>
    <mergeCell ref="AA349:AF349"/>
    <mergeCell ref="P353:AE353"/>
    <mergeCell ref="P354:AE354"/>
    <mergeCell ref="AC379:AF379"/>
    <mergeCell ref="AE411:AJ411"/>
    <mergeCell ref="AC394:AJ394"/>
    <mergeCell ref="S411:U411"/>
    <mergeCell ref="R421:S421"/>
    <mergeCell ref="Q438:R438"/>
    <mergeCell ref="P434:Q434"/>
    <mergeCell ref="I427:K427"/>
    <mergeCell ref="V386:W386"/>
    <mergeCell ref="D447:AF447"/>
    <mergeCell ref="AD386:AE386"/>
    <mergeCell ref="W427:Y427"/>
    <mergeCell ref="D450:AF450"/>
    <mergeCell ref="AG448:AJ448"/>
    <mergeCell ref="P427:R427"/>
    <mergeCell ref="AG447:AJ447"/>
    <mergeCell ref="AG450:AJ450"/>
    <mergeCell ref="S422:T422"/>
    <mergeCell ref="AG402:AJ402"/>
    <mergeCell ref="AG400:AJ400"/>
    <mergeCell ref="K413:AJ413"/>
    <mergeCell ref="AC395:AJ395"/>
    <mergeCell ref="AC541:AF541"/>
    <mergeCell ref="K412:AJ412"/>
    <mergeCell ref="P355:AE355"/>
    <mergeCell ref="Q399:U399"/>
    <mergeCell ref="I419:AE419"/>
    <mergeCell ref="AI398:AJ398"/>
    <mergeCell ref="P356:Z356"/>
    <mergeCell ref="T407:AJ407"/>
    <mergeCell ref="AG449:AJ449"/>
    <mergeCell ref="S410:U410"/>
    <mergeCell ref="AG410:AJ410"/>
    <mergeCell ref="AC396:AJ396"/>
    <mergeCell ref="V397:AJ397"/>
    <mergeCell ref="D452:AF452"/>
    <mergeCell ref="P358:AE358"/>
    <mergeCell ref="N372:O372"/>
    <mergeCell ref="D477:V477"/>
    <mergeCell ref="W481:Y481"/>
    <mergeCell ref="AE434:AF434"/>
    <mergeCell ref="AC528:AF528"/>
    <mergeCell ref="AC535:AF535"/>
    <mergeCell ref="AG404:AJ404"/>
    <mergeCell ref="N381:Q381"/>
    <mergeCell ref="AH530:AK530"/>
    <mergeCell ref="D476:V476"/>
    <mergeCell ref="AC520:AF520"/>
    <mergeCell ref="S386:T386"/>
    <mergeCell ref="O537:AA537"/>
    <mergeCell ref="M566:P566"/>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E429:AJ429"/>
    <mergeCell ref="AE433:AF433"/>
    <mergeCell ref="T567:V567"/>
    <mergeCell ref="AC549:AF549"/>
    <mergeCell ref="D449:AF449"/>
    <mergeCell ref="W565:Y565"/>
    <mergeCell ref="AC534:AF534"/>
    <mergeCell ref="AE565:AH565"/>
    <mergeCell ref="AC523:AF523"/>
    <mergeCell ref="AC522:AF522"/>
    <mergeCell ref="AH546:AK546"/>
    <mergeCell ref="Q566:S566"/>
    <mergeCell ref="AH520:AK520"/>
    <mergeCell ref="M565:P565"/>
    <mergeCell ref="AH528:AK528"/>
    <mergeCell ref="AC545:AF545"/>
    <mergeCell ref="O534:AA534"/>
    <mergeCell ref="AC513:AF513"/>
    <mergeCell ref="AF439:AG439"/>
    <mergeCell ref="AG446:AJ446"/>
    <mergeCell ref="I430:K430"/>
    <mergeCell ref="AC530:AF530"/>
    <mergeCell ref="T562:V562"/>
    <mergeCell ref="AC538:AF538"/>
    <mergeCell ref="AC464:AF464"/>
    <mergeCell ref="D474:V474"/>
    <mergeCell ref="Q499:AK499"/>
    <mergeCell ref="AH503:AK503"/>
    <mergeCell ref="D473:V473"/>
    <mergeCell ref="AC517:AF517"/>
    <mergeCell ref="Q493:AK493"/>
    <mergeCell ref="AC533:AF533"/>
    <mergeCell ref="W482:Y482"/>
    <mergeCell ref="AH525:AK525"/>
    <mergeCell ref="W479:Y479"/>
    <mergeCell ref="D480:V480"/>
    <mergeCell ref="W480:Y480"/>
    <mergeCell ref="AE559:AH561"/>
    <mergeCell ref="AI559:AL561"/>
    <mergeCell ref="AH518:AK518"/>
    <mergeCell ref="AH541:AK541"/>
    <mergeCell ref="CM730:CN730"/>
    <mergeCell ref="CG730:CH730"/>
    <mergeCell ref="CK752:CL752"/>
    <mergeCell ref="CM734:CN734"/>
    <mergeCell ref="X750:AB750"/>
    <mergeCell ref="AH750:AJ750"/>
    <mergeCell ref="AK747:AO747"/>
    <mergeCell ref="CK738:CL738"/>
    <mergeCell ref="CI759:CJ759"/>
    <mergeCell ref="CG752:CH752"/>
    <mergeCell ref="CI752:CJ752"/>
    <mergeCell ref="AK750:AO750"/>
    <mergeCell ref="AK749:AO749"/>
    <mergeCell ref="AK760:AO760"/>
    <mergeCell ref="AH734:AJ734"/>
    <mergeCell ref="AH511:AK511"/>
    <mergeCell ref="AC508:AF508"/>
    <mergeCell ref="CG756:CH756"/>
    <mergeCell ref="W564:Y564"/>
    <mergeCell ref="T735:W735"/>
    <mergeCell ref="X731:AB731"/>
    <mergeCell ref="AE706:AI706"/>
    <mergeCell ref="AC722:AG725"/>
    <mergeCell ref="X722:AB725"/>
    <mergeCell ref="AE704:AI704"/>
    <mergeCell ref="W636:Y636"/>
    <mergeCell ref="AO648:AS648"/>
    <mergeCell ref="W644:Y644"/>
    <mergeCell ref="Z595:AK595"/>
    <mergeCell ref="Z597:AE597"/>
    <mergeCell ref="T635:V635"/>
    <mergeCell ref="AO635:AS635"/>
    <mergeCell ref="AH549:AK549"/>
    <mergeCell ref="AC543:AF543"/>
    <mergeCell ref="AI562:AL562"/>
    <mergeCell ref="AI566:AL566"/>
    <mergeCell ref="T559:V561"/>
    <mergeCell ref="Z565:AD565"/>
    <mergeCell ref="Z567:AD567"/>
    <mergeCell ref="Z570:AD570"/>
    <mergeCell ref="W569:Y569"/>
    <mergeCell ref="W570:Y570"/>
    <mergeCell ref="CG738:CH738"/>
    <mergeCell ref="CG736:CH736"/>
    <mergeCell ref="X726:AB726"/>
    <mergeCell ref="CK757:CL757"/>
    <mergeCell ref="CM757:CN757"/>
    <mergeCell ref="AH755:AJ755"/>
    <mergeCell ref="AH756:AJ756"/>
    <mergeCell ref="X733:AB733"/>
    <mergeCell ref="CM753:CN753"/>
    <mergeCell ref="CG754:CH754"/>
    <mergeCell ref="CI750:CJ750"/>
    <mergeCell ref="AC727:AG727"/>
    <mergeCell ref="AK739:AO739"/>
    <mergeCell ref="AK735:AO735"/>
    <mergeCell ref="CG746:CH746"/>
    <mergeCell ref="CK747:CL747"/>
    <mergeCell ref="AK744:AO744"/>
    <mergeCell ref="CK728:CL728"/>
    <mergeCell ref="CG743:CH743"/>
    <mergeCell ref="CM743:CN743"/>
    <mergeCell ref="CM728:CN728"/>
    <mergeCell ref="CI728:CJ728"/>
    <mergeCell ref="AI401:AJ401"/>
    <mergeCell ref="AG403:AJ403"/>
    <mergeCell ref="AH523:AK523"/>
    <mergeCell ref="AG452:AJ452"/>
    <mergeCell ref="AG453:AJ453"/>
    <mergeCell ref="D446:AF446"/>
    <mergeCell ref="Q502:AK502"/>
    <mergeCell ref="AC512:AF512"/>
    <mergeCell ref="D479:V479"/>
    <mergeCell ref="O540:AA540"/>
    <mergeCell ref="AH513:AK513"/>
    <mergeCell ref="Q501:AK501"/>
    <mergeCell ref="CP805:CT805"/>
    <mergeCell ref="AM563:AS563"/>
    <mergeCell ref="AI565:AL565"/>
    <mergeCell ref="T732:W732"/>
    <mergeCell ref="AM559:AS561"/>
    <mergeCell ref="AH730:AJ730"/>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Z642:AB642"/>
    <mergeCell ref="K722:N725"/>
    <mergeCell ref="C570:L570"/>
    <mergeCell ref="C566:L566"/>
    <mergeCell ref="AC515:AF515"/>
    <mergeCell ref="AC529:AF529"/>
    <mergeCell ref="AH535:AK535"/>
    <mergeCell ref="S414:AJ414"/>
    <mergeCell ref="AG388:AH388"/>
    <mergeCell ref="S401:U401"/>
    <mergeCell ref="AG399:AJ399"/>
    <mergeCell ref="Q400:U400"/>
    <mergeCell ref="B509:H510"/>
    <mergeCell ref="O531:AA531"/>
    <mergeCell ref="D451:AF451"/>
    <mergeCell ref="M503:P503"/>
    <mergeCell ref="AC509:AF509"/>
    <mergeCell ref="S497:AK498"/>
    <mergeCell ref="D481:V481"/>
    <mergeCell ref="AG459:AJ459"/>
    <mergeCell ref="D475:V475"/>
    <mergeCell ref="AC546:AF546"/>
    <mergeCell ref="Z562:AD562"/>
    <mergeCell ref="AH539:AK539"/>
    <mergeCell ref="D457:AF457"/>
    <mergeCell ref="AG454:AJ454"/>
    <mergeCell ref="AK642:AN642"/>
    <mergeCell ref="AK643:AN643"/>
    <mergeCell ref="Q562:S562"/>
    <mergeCell ref="AC518:AF518"/>
    <mergeCell ref="AH522:AK522"/>
    <mergeCell ref="Q563:S563"/>
    <mergeCell ref="Q559:S561"/>
    <mergeCell ref="M563:P563"/>
    <mergeCell ref="C563:L563"/>
    <mergeCell ref="AC525:AF525"/>
    <mergeCell ref="AH514:AK514"/>
    <mergeCell ref="AH516:AK516"/>
    <mergeCell ref="AC548:AF548"/>
    <mergeCell ref="AC516:AF516"/>
    <mergeCell ref="AH545:AK545"/>
    <mergeCell ref="AC542:AF542"/>
    <mergeCell ref="AH550:AK550"/>
    <mergeCell ref="AH515:AK515"/>
    <mergeCell ref="D478:V478"/>
    <mergeCell ref="AC510:AF510"/>
    <mergeCell ref="B522:H524"/>
    <mergeCell ref="B525:H527"/>
    <mergeCell ref="AC537:AF537"/>
    <mergeCell ref="AH538:AK538"/>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E563:AH563"/>
    <mergeCell ref="AH547:AK547"/>
    <mergeCell ref="Z564:AD564"/>
    <mergeCell ref="AI563:AL563"/>
    <mergeCell ref="T566:V566"/>
    <mergeCell ref="AI564:AL564"/>
    <mergeCell ref="T565:V565"/>
    <mergeCell ref="AH532:AK532"/>
    <mergeCell ref="AH540:AK540"/>
    <mergeCell ref="Z641:AB641"/>
    <mergeCell ref="CZ738:DD738"/>
    <mergeCell ref="AI687:AK687"/>
    <mergeCell ref="Z671:AE671"/>
    <mergeCell ref="Z651:AK651"/>
    <mergeCell ref="CZ725:DD725"/>
    <mergeCell ref="CI730:CJ730"/>
    <mergeCell ref="CG729:CH729"/>
    <mergeCell ref="CP730:CT730"/>
    <mergeCell ref="CP726:CT726"/>
    <mergeCell ref="CI726:CJ726"/>
    <mergeCell ref="CI732:CJ732"/>
    <mergeCell ref="AH548:AK548"/>
    <mergeCell ref="AA590:AK590"/>
    <mergeCell ref="Z693:AK693"/>
    <mergeCell ref="AI613:AK613"/>
    <mergeCell ref="AF582:AK582"/>
    <mergeCell ref="Z593:AK593"/>
    <mergeCell ref="Z611:AK611"/>
    <mergeCell ref="AG599:AH599"/>
    <mergeCell ref="Z589:AE589"/>
    <mergeCell ref="Z662:AK662"/>
    <mergeCell ref="CP737:CT737"/>
    <mergeCell ref="CP728:CT728"/>
    <mergeCell ref="CU728:CY728"/>
    <mergeCell ref="EW645:FA645"/>
    <mergeCell ref="ER653:EV653"/>
    <mergeCell ref="EW653:FA653"/>
    <mergeCell ref="EM645:EQ645"/>
    <mergeCell ref="EM652:EQ652"/>
    <mergeCell ref="H581:R581"/>
    <mergeCell ref="B574:AL574"/>
    <mergeCell ref="AE568:AH568"/>
    <mergeCell ref="N583:O583"/>
    <mergeCell ref="Z559:AD561"/>
    <mergeCell ref="AH521:AK521"/>
    <mergeCell ref="DJ750:DN750"/>
    <mergeCell ref="DJ749:DN749"/>
    <mergeCell ref="CM750:CN750"/>
    <mergeCell ref="CP742:CT742"/>
    <mergeCell ref="CU748:CY748"/>
    <mergeCell ref="CI747:CJ747"/>
    <mergeCell ref="AC532:AF532"/>
    <mergeCell ref="H590:R590"/>
    <mergeCell ref="P580:R580"/>
    <mergeCell ref="G612:R612"/>
    <mergeCell ref="G585:R585"/>
    <mergeCell ref="C569:L569"/>
    <mergeCell ref="W571:Y571"/>
    <mergeCell ref="W572:Y572"/>
    <mergeCell ref="W573:Y573"/>
    <mergeCell ref="G587:R587"/>
    <mergeCell ref="P613:R613"/>
    <mergeCell ref="G580:L580"/>
    <mergeCell ref="P605:R605"/>
    <mergeCell ref="G605:L605"/>
    <mergeCell ref="CM746:CN746"/>
    <mergeCell ref="EW644:FA644"/>
    <mergeCell ref="ER645:EV645"/>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E730:EI730"/>
    <mergeCell ref="DZ726:ED726"/>
    <mergeCell ref="EE726:EI726"/>
    <mergeCell ref="EZ730:FD730"/>
    <mergeCell ref="ET726:EX726"/>
    <mergeCell ref="EE728:EI728"/>
    <mergeCell ref="EC660:EG660"/>
    <mergeCell ref="EC655:EG655"/>
    <mergeCell ref="ER649:EV649"/>
    <mergeCell ref="EH649:EL649"/>
    <mergeCell ref="EM667:EQ667"/>
    <mergeCell ref="ER667:EV667"/>
    <mergeCell ref="EW667:FA667"/>
    <mergeCell ref="DX668:EB668"/>
    <mergeCell ref="EC668:EG668"/>
    <mergeCell ref="EW652:FA652"/>
    <mergeCell ref="FY753:GC753"/>
    <mergeCell ref="EZ754:FD754"/>
    <mergeCell ref="ET753:EX753"/>
    <mergeCell ref="DU754:DY754"/>
    <mergeCell ref="DZ754:ED754"/>
    <mergeCell ref="EE754:EI754"/>
    <mergeCell ref="EJ754:EN754"/>
    <mergeCell ref="EO754:ES754"/>
    <mergeCell ref="ET754:EX754"/>
    <mergeCell ref="FT754:FX754"/>
    <mergeCell ref="FY754:GC754"/>
    <mergeCell ref="EZ749:FD749"/>
    <mergeCell ref="FE749:FI749"/>
    <mergeCell ref="FJ749:FN749"/>
    <mergeCell ref="FO749:FS749"/>
    <mergeCell ref="FY749:GC749"/>
    <mergeCell ref="EZ750:FD750"/>
    <mergeCell ref="FE751:FI751"/>
    <mergeCell ref="FJ751:FN751"/>
    <mergeCell ref="FO751:FS751"/>
    <mergeCell ref="FT751:FX751"/>
    <mergeCell ref="DU749:DY749"/>
    <mergeCell ref="ET749:EX749"/>
    <mergeCell ref="DU750:DY750"/>
    <mergeCell ref="DZ750:ED750"/>
    <mergeCell ref="ET750:EX750"/>
    <mergeCell ref="FE750:FI750"/>
    <mergeCell ref="FJ750:FN750"/>
    <mergeCell ref="FO750:FS750"/>
    <mergeCell ref="EE749:EI749"/>
    <mergeCell ref="EJ749:EN749"/>
    <mergeCell ref="EO749:ES749"/>
    <mergeCell ref="FY758:GC758"/>
    <mergeCell ref="DZ755:ED755"/>
    <mergeCell ref="EZ755:FD755"/>
    <mergeCell ref="FE755:FI755"/>
    <mergeCell ref="FY750:GC750"/>
    <mergeCell ref="DZ736:ED736"/>
    <mergeCell ref="EO739:ES739"/>
    <mergeCell ref="ET751:EX751"/>
    <mergeCell ref="EZ751:FD751"/>
    <mergeCell ref="FJ748:FN748"/>
    <mergeCell ref="FO748:FS748"/>
    <mergeCell ref="ET744:EX744"/>
    <mergeCell ref="EE743:EI743"/>
    <mergeCell ref="EJ742:EN742"/>
    <mergeCell ref="EE741:EI741"/>
    <mergeCell ref="ET740:EX740"/>
    <mergeCell ref="EZ739:FD739"/>
    <mergeCell ref="FT749:FX749"/>
    <mergeCell ref="FY746:GC746"/>
    <mergeCell ref="ET741:EX741"/>
    <mergeCell ref="EO757:ES757"/>
    <mergeCell ref="EZ756:FD756"/>
    <mergeCell ref="FY757:GC757"/>
    <mergeCell ref="FE754:FI754"/>
    <mergeCell ref="FJ754:FN754"/>
    <mergeCell ref="FO754:FS754"/>
    <mergeCell ref="DZ749:ED749"/>
    <mergeCell ref="DZ756:ED756"/>
    <mergeCell ref="EE756:EI756"/>
    <mergeCell ref="EJ756:EN756"/>
    <mergeCell ref="EO756:ES756"/>
    <mergeCell ref="ET752:EX752"/>
    <mergeCell ref="FY761:GC761"/>
    <mergeCell ref="DZ753:ED753"/>
    <mergeCell ref="FO761:FS761"/>
    <mergeCell ref="FE756:FI756"/>
    <mergeCell ref="FJ756:FN756"/>
    <mergeCell ref="FO756:FS756"/>
    <mergeCell ref="EZ753:FD753"/>
    <mergeCell ref="EO755:ES755"/>
    <mergeCell ref="ET755:EX755"/>
    <mergeCell ref="DZ758:ED758"/>
    <mergeCell ref="EE758:EI758"/>
    <mergeCell ref="EJ758:EN758"/>
    <mergeCell ref="EO758:ES758"/>
    <mergeCell ref="ET758:EX758"/>
    <mergeCell ref="FY756:GC756"/>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FT758:FX758"/>
    <mergeCell ref="FT755:FX755"/>
    <mergeCell ref="EH671:EL671"/>
    <mergeCell ref="FJ761:FN761"/>
    <mergeCell ref="DU758:DY758"/>
    <mergeCell ref="EZ757:FD757"/>
    <mergeCell ref="FE757:FI757"/>
    <mergeCell ref="FJ757:FN757"/>
    <mergeCell ref="FO757:FS757"/>
    <mergeCell ref="ET761:EX761"/>
    <mergeCell ref="ET760:EX760"/>
    <mergeCell ref="EO759:ES759"/>
    <mergeCell ref="EZ760:FD760"/>
    <mergeCell ref="FE760:FI760"/>
    <mergeCell ref="FJ760:FN760"/>
    <mergeCell ref="FO760:FS760"/>
    <mergeCell ref="FE761:FI761"/>
    <mergeCell ref="FT761:FX761"/>
    <mergeCell ref="DZ731:ED731"/>
    <mergeCell ref="EE727:EI727"/>
    <mergeCell ref="DZ728:ED728"/>
    <mergeCell ref="EW675:FA675"/>
    <mergeCell ref="EZ732:FD732"/>
    <mergeCell ref="FT747:FX747"/>
    <mergeCell ref="FT725:FX725"/>
    <mergeCell ref="FT746:FX746"/>
    <mergeCell ref="FJ741:FN741"/>
    <mergeCell ref="FO741:FS741"/>
    <mergeCell ref="FE747:FI747"/>
    <mergeCell ref="FJ747:FN747"/>
    <mergeCell ref="FO743:FS743"/>
    <mergeCell ref="EO744:ES744"/>
    <mergeCell ref="FT750:FX750"/>
    <mergeCell ref="CM758:CN758"/>
    <mergeCell ref="CG755:CH755"/>
    <mergeCell ref="CI755:CJ755"/>
    <mergeCell ref="CK755:CL755"/>
    <mergeCell ref="CM755:CN755"/>
    <mergeCell ref="CM761:CN761"/>
    <mergeCell ref="EZ758:FD758"/>
    <mergeCell ref="FE758:FI758"/>
    <mergeCell ref="FJ758:FN758"/>
    <mergeCell ref="FO758:FS758"/>
    <mergeCell ref="DU755:DY755"/>
    <mergeCell ref="CU757:CY757"/>
    <mergeCell ref="CZ757:DD757"/>
    <mergeCell ref="DE757:DI757"/>
    <mergeCell ref="DJ757:DN757"/>
    <mergeCell ref="DO757:DS757"/>
    <mergeCell ref="CZ756:DD756"/>
    <mergeCell ref="CI758:CJ758"/>
    <mergeCell ref="ET756:EX756"/>
    <mergeCell ref="CK760:CL760"/>
    <mergeCell ref="CP755:CT755"/>
    <mergeCell ref="FO759:FS759"/>
    <mergeCell ref="FE759:FI759"/>
    <mergeCell ref="FJ759:FN759"/>
    <mergeCell ref="EE755:EI755"/>
    <mergeCell ref="EJ755:EN755"/>
    <mergeCell ref="FJ755:FN755"/>
    <mergeCell ref="FO755:FS755"/>
    <mergeCell ref="DU760:DY760"/>
    <mergeCell ref="EE760:EI760"/>
    <mergeCell ref="DZ761:ED761"/>
    <mergeCell ref="DE751:DI751"/>
    <mergeCell ref="DJ755:DN755"/>
    <mergeCell ref="CG753:CH753"/>
    <mergeCell ref="CI753:CJ753"/>
    <mergeCell ref="CU752:CY752"/>
    <mergeCell ref="CI757:CJ757"/>
    <mergeCell ref="DE756:DI756"/>
    <mergeCell ref="DJ756:DN756"/>
    <mergeCell ref="DO756:DS756"/>
    <mergeCell ref="CU755:CY755"/>
    <mergeCell ref="CZ755:DD755"/>
    <mergeCell ref="DE755:DI755"/>
    <mergeCell ref="CP752:CT752"/>
    <mergeCell ref="DJ752:DN752"/>
    <mergeCell ref="CI754:CJ754"/>
    <mergeCell ref="CM752:CN752"/>
    <mergeCell ref="CK750:CL750"/>
    <mergeCell ref="CP753:CT753"/>
    <mergeCell ref="CG751:CH751"/>
    <mergeCell ref="DJ751:DN751"/>
    <mergeCell ref="DO751:DS751"/>
    <mergeCell ref="DO752:DS752"/>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P751:CT751"/>
    <mergeCell ref="CZ745:DD745"/>
    <mergeCell ref="DE741:DI741"/>
    <mergeCell ref="CZ759:DD759"/>
    <mergeCell ref="DE754:DI754"/>
    <mergeCell ref="CK758:CL758"/>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H296:R296"/>
    <mergeCell ref="AA299:AK299"/>
    <mergeCell ref="AA298:AK298"/>
    <mergeCell ref="AA296:AK296"/>
    <mergeCell ref="AA297:AK297"/>
    <mergeCell ref="H304:R304"/>
    <mergeCell ref="H307:R307"/>
    <mergeCell ref="H305:R305"/>
    <mergeCell ref="H306:R306"/>
    <mergeCell ref="H312:R312"/>
    <mergeCell ref="H315:R315"/>
    <mergeCell ref="H313:R313"/>
    <mergeCell ref="H314:R314"/>
    <mergeCell ref="H328:R328"/>
    <mergeCell ref="AA309:AF309"/>
    <mergeCell ref="H316:M316"/>
    <mergeCell ref="H326:R326"/>
    <mergeCell ref="AA324:AF324"/>
    <mergeCell ref="AA302:AK302"/>
    <mergeCell ref="AA310:AK310"/>
    <mergeCell ref="AA305:AK305"/>
    <mergeCell ref="H310:R310"/>
    <mergeCell ref="P324:R324"/>
    <mergeCell ref="AA313:AK313"/>
    <mergeCell ref="AA318:AK318"/>
    <mergeCell ref="AA316:AF316"/>
    <mergeCell ref="AA314:AK314"/>
    <mergeCell ref="AA326:AK326"/>
    <mergeCell ref="AI324:AK324"/>
    <mergeCell ref="H320:R320"/>
    <mergeCell ref="H322:R322"/>
    <mergeCell ref="H318:R318"/>
    <mergeCell ref="H336:R336"/>
    <mergeCell ref="H338:R338"/>
    <mergeCell ref="H339:R339"/>
    <mergeCell ref="H337:R337"/>
    <mergeCell ref="AA328:AK328"/>
    <mergeCell ref="AA330:AK330"/>
    <mergeCell ref="AA331:AK331"/>
    <mergeCell ref="AA329:AK329"/>
    <mergeCell ref="AA323:AK323"/>
    <mergeCell ref="AA322:AK322"/>
    <mergeCell ref="AA321:AK321"/>
    <mergeCell ref="AA320:AK320"/>
    <mergeCell ref="AA339:AK339"/>
    <mergeCell ref="AA337:AK337"/>
    <mergeCell ref="AA336:AK336"/>
    <mergeCell ref="AA338:AK338"/>
    <mergeCell ref="AA333:AF333"/>
    <mergeCell ref="AI332:AK332"/>
    <mergeCell ref="P332:R332"/>
    <mergeCell ref="H334:R334"/>
    <mergeCell ref="H344:R344"/>
    <mergeCell ref="H346:R346"/>
    <mergeCell ref="H345:R345"/>
    <mergeCell ref="H347:R347"/>
    <mergeCell ref="AA345:AK345"/>
    <mergeCell ref="AA346:AK346"/>
    <mergeCell ref="AA344:AK344"/>
    <mergeCell ref="AA347:AK347"/>
    <mergeCell ref="J394:U394"/>
    <mergeCell ref="J396:U396"/>
    <mergeCell ref="J395:U395"/>
    <mergeCell ref="J397:U397"/>
    <mergeCell ref="H331:R331"/>
    <mergeCell ref="H329:R329"/>
    <mergeCell ref="H330:R330"/>
    <mergeCell ref="H323:R323"/>
    <mergeCell ref="H321:R321"/>
    <mergeCell ref="Y373:Z373"/>
    <mergeCell ref="N387:P387"/>
    <mergeCell ref="AA350:AK350"/>
    <mergeCell ref="E377:AH378"/>
    <mergeCell ref="Q374:AG374"/>
    <mergeCell ref="H349:M349"/>
    <mergeCell ref="AJ365:AK365"/>
    <mergeCell ref="AC380:AF380"/>
    <mergeCell ref="P348:R348"/>
    <mergeCell ref="P340:R340"/>
    <mergeCell ref="AA340:AF340"/>
    <mergeCell ref="AA341:AF341"/>
    <mergeCell ref="H341:M341"/>
    <mergeCell ref="N380:Q380"/>
    <mergeCell ref="V391:W391"/>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65" workbookViewId="0">
      <selection activeCell="E100" sqref="E10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5" t="s">
        <v>621</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374</v>
      </c>
      <c r="D2" s="138" t="s">
        <v>373</v>
      </c>
      <c r="E2" s="138" t="s">
        <v>24</v>
      </c>
      <c r="F2" s="139" t="str">
        <f>Application!B635&amp;Application!C635</f>
        <v>1)Citibank, N.A.</v>
      </c>
      <c r="G2" s="139" t="str">
        <f>Application!B636&amp;Application!C636</f>
        <v>2)City of Elk Grove</v>
      </c>
      <c r="H2" s="139" t="str">
        <f>Application!B637&amp;Application!C637</f>
        <v>3)Seasons Apartments, LP</v>
      </c>
      <c r="I2" s="139" t="str">
        <f>Application!B638&amp;Application!C638</f>
        <v>4)Vintage Housing Holdings, LLC</v>
      </c>
      <c r="J2" s="139" t="str">
        <f>Application!B639&amp;Application!C639</f>
        <v>5)Vintage Housing Holdings, LLC</v>
      </c>
      <c r="K2" s="139" t="str">
        <f>Application!B640&amp;Application!C640</f>
        <v>6)Vintage Housing Development, Inc.</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3753151</v>
      </c>
      <c r="C4" s="147">
        <v>3753151</v>
      </c>
      <c r="D4" s="147"/>
      <c r="E4" s="147"/>
      <c r="F4" s="147">
        <v>3753151</v>
      </c>
      <c r="G4" s="147"/>
      <c r="H4" s="147"/>
      <c r="I4" s="147"/>
      <c r="J4" s="147"/>
      <c r="K4" s="147"/>
      <c r="L4" s="147"/>
      <c r="M4" s="147"/>
      <c r="N4" s="147"/>
      <c r="O4" s="147"/>
      <c r="P4" s="147"/>
      <c r="Q4" s="147"/>
      <c r="R4" s="516">
        <f>SUM(E4:Q4)</f>
        <v>3753151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3753151</v>
      </c>
      <c r="C8" s="146">
        <f t="shared" ref="C8:Q8" si="0">SUM(C4:C7)</f>
        <v>3753151</v>
      </c>
      <c r="D8" s="146">
        <f t="shared" si="0"/>
        <v>0</v>
      </c>
      <c r="E8" s="146">
        <f t="shared" si="0"/>
        <v>0</v>
      </c>
      <c r="F8" s="146">
        <f t="shared" si="0"/>
        <v>3753151</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3753151</v>
      </c>
      <c r="S8" s="148"/>
      <c r="T8" s="148"/>
      <c r="U8" s="143"/>
    </row>
    <row r="9" spans="1:21" s="144" customFormat="1">
      <c r="A9" s="145" t="s">
        <v>594</v>
      </c>
      <c r="B9" s="146">
        <f>SUM(C9+D9)</f>
        <v>41534874</v>
      </c>
      <c r="C9" s="147">
        <v>41534874</v>
      </c>
      <c r="D9" s="147"/>
      <c r="E9" s="147"/>
      <c r="F9" s="147">
        <v>21437714</v>
      </c>
      <c r="G9" s="147">
        <v>9088225</v>
      </c>
      <c r="H9" s="147">
        <v>10000000</v>
      </c>
      <c r="I9" s="147">
        <v>1008935</v>
      </c>
      <c r="J9" s="147"/>
      <c r="K9" s="147"/>
      <c r="L9" s="147"/>
      <c r="M9" s="147"/>
      <c r="N9" s="147"/>
      <c r="O9" s="147"/>
      <c r="P9" s="147"/>
      <c r="Q9" s="147"/>
      <c r="R9" s="516">
        <f>SUM(E9:Q9)</f>
        <v>41534874</v>
      </c>
      <c r="S9" s="148"/>
      <c r="T9" s="147">
        <v>33200000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41534874</v>
      </c>
      <c r="C11" s="146">
        <f t="shared" ref="C11:Q11" si="1">SUM(C9:C10)</f>
        <v>41534874</v>
      </c>
      <c r="D11" s="146">
        <f t="shared" si="1"/>
        <v>0</v>
      </c>
      <c r="E11" s="146">
        <f t="shared" si="1"/>
        <v>0</v>
      </c>
      <c r="F11" s="146">
        <f t="shared" si="1"/>
        <v>21437714</v>
      </c>
      <c r="G11" s="146">
        <f t="shared" si="1"/>
        <v>9088225</v>
      </c>
      <c r="H11" s="146">
        <f t="shared" si="1"/>
        <v>10000000</v>
      </c>
      <c r="I11" s="146">
        <f t="shared" si="1"/>
        <v>1008935</v>
      </c>
      <c r="J11" s="146">
        <f t="shared" si="1"/>
        <v>0</v>
      </c>
      <c r="K11" s="146">
        <f t="shared" si="1"/>
        <v>0</v>
      </c>
      <c r="L11" s="146">
        <f t="shared" si="1"/>
        <v>0</v>
      </c>
      <c r="M11" s="146">
        <f t="shared" si="1"/>
        <v>0</v>
      </c>
      <c r="N11" s="146">
        <f t="shared" si="1"/>
        <v>0</v>
      </c>
      <c r="O11" s="146">
        <f t="shared" si="1"/>
        <v>0</v>
      </c>
      <c r="P11" s="146"/>
      <c r="Q11" s="146">
        <f t="shared" si="1"/>
        <v>0</v>
      </c>
      <c r="R11" s="342">
        <f>SUM(R9:R10)</f>
        <v>41534874</v>
      </c>
      <c r="S11" s="148"/>
      <c r="T11" s="150">
        <f>SUM(T9:T10)</f>
        <v>33200000</v>
      </c>
      <c r="U11" s="143"/>
    </row>
    <row r="12" spans="1:21" s="144" customFormat="1">
      <c r="A12" s="149" t="s">
        <v>84</v>
      </c>
      <c r="B12" s="146">
        <f t="shared" ref="B12:Q12" si="2">SUM(B8+B11)</f>
        <v>45288025</v>
      </c>
      <c r="C12" s="146">
        <f t="shared" si="2"/>
        <v>45288025</v>
      </c>
      <c r="D12" s="146">
        <f t="shared" si="2"/>
        <v>0</v>
      </c>
      <c r="E12" s="146">
        <f t="shared" si="2"/>
        <v>0</v>
      </c>
      <c r="F12" s="146">
        <f t="shared" si="2"/>
        <v>25190865</v>
      </c>
      <c r="G12" s="146">
        <f t="shared" si="2"/>
        <v>9088225</v>
      </c>
      <c r="H12" s="146">
        <f t="shared" si="2"/>
        <v>10000000</v>
      </c>
      <c r="I12" s="146">
        <f t="shared" si="2"/>
        <v>1008935</v>
      </c>
      <c r="J12" s="146">
        <f t="shared" si="2"/>
        <v>0</v>
      </c>
      <c r="K12" s="146">
        <f t="shared" si="2"/>
        <v>0</v>
      </c>
      <c r="L12" s="146">
        <f t="shared" si="2"/>
        <v>0</v>
      </c>
      <c r="M12" s="146">
        <f t="shared" si="2"/>
        <v>0</v>
      </c>
      <c r="N12" s="146">
        <f t="shared" si="2"/>
        <v>0</v>
      </c>
      <c r="O12" s="146">
        <f t="shared" si="2"/>
        <v>0</v>
      </c>
      <c r="P12" s="146"/>
      <c r="Q12" s="146">
        <f t="shared" si="2"/>
        <v>0</v>
      </c>
      <c r="R12" s="342">
        <f>SUM(R8+R11)</f>
        <v>45288025</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13320000</v>
      </c>
      <c r="C18" s="147">
        <v>13320000</v>
      </c>
      <c r="D18" s="147"/>
      <c r="E18" s="147">
        <v>10720600</v>
      </c>
      <c r="F18" s="147">
        <v>1999135</v>
      </c>
      <c r="G18" s="147"/>
      <c r="H18" s="147"/>
      <c r="I18" s="147"/>
      <c r="J18" s="147">
        <v>600265</v>
      </c>
      <c r="K18" s="147"/>
      <c r="L18" s="147"/>
      <c r="M18" s="147"/>
      <c r="N18" s="147"/>
      <c r="O18" s="147"/>
      <c r="P18" s="147"/>
      <c r="Q18" s="147"/>
      <c r="R18" s="516">
        <f>SUM(E18:Q18)</f>
        <v>13320000</v>
      </c>
      <c r="S18" s="147">
        <v>13320000</v>
      </c>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932400</v>
      </c>
      <c r="C20" s="147">
        <v>932400</v>
      </c>
      <c r="D20" s="147"/>
      <c r="E20" s="147">
        <v>932400</v>
      </c>
      <c r="F20" s="147"/>
      <c r="G20" s="147"/>
      <c r="H20" s="147"/>
      <c r="I20" s="147"/>
      <c r="J20" s="147"/>
      <c r="K20" s="147"/>
      <c r="L20" s="147"/>
      <c r="M20" s="147"/>
      <c r="N20" s="147"/>
      <c r="O20" s="147"/>
      <c r="P20" s="147"/>
      <c r="Q20" s="147"/>
      <c r="R20" s="516">
        <f t="shared" ref="R20:R27" si="4">SUM(E20:Q20)</f>
        <v>932400</v>
      </c>
      <c r="S20" s="147">
        <v>932400</v>
      </c>
      <c r="T20" s="147"/>
      <c r="U20" s="143"/>
    </row>
    <row r="21" spans="1:21" s="144" customFormat="1">
      <c r="A21" s="145" t="s">
        <v>138</v>
      </c>
      <c r="B21" s="146">
        <f t="shared" si="3"/>
        <v>932400</v>
      </c>
      <c r="C21" s="147">
        <v>932400</v>
      </c>
      <c r="D21" s="147"/>
      <c r="E21" s="147">
        <v>932400</v>
      </c>
      <c r="F21" s="147"/>
      <c r="G21" s="147"/>
      <c r="H21" s="147"/>
      <c r="I21" s="147"/>
      <c r="J21" s="147"/>
      <c r="K21" s="147"/>
      <c r="L21" s="147"/>
      <c r="M21" s="147"/>
      <c r="N21" s="147"/>
      <c r="O21" s="147"/>
      <c r="P21" s="147"/>
      <c r="Q21" s="147"/>
      <c r="R21" s="516">
        <f t="shared" si="4"/>
        <v>932400</v>
      </c>
      <c r="S21" s="147">
        <v>932400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15184800</v>
      </c>
      <c r="C26" s="146">
        <f>SUM(C17:C25)</f>
        <v>15184800</v>
      </c>
      <c r="D26" s="146">
        <f t="shared" ref="D26:Q26" si="5">SUM(D17:D25)</f>
        <v>0</v>
      </c>
      <c r="E26" s="146">
        <f t="shared" si="5"/>
        <v>12585400</v>
      </c>
      <c r="F26" s="146">
        <f t="shared" si="5"/>
        <v>1999135</v>
      </c>
      <c r="G26" s="146">
        <f t="shared" si="5"/>
        <v>0</v>
      </c>
      <c r="H26" s="146">
        <f t="shared" si="5"/>
        <v>0</v>
      </c>
      <c r="I26" s="146">
        <f t="shared" si="5"/>
        <v>0</v>
      </c>
      <c r="J26" s="146">
        <f t="shared" si="5"/>
        <v>600265</v>
      </c>
      <c r="K26" s="146">
        <f t="shared" si="5"/>
        <v>0</v>
      </c>
      <c r="L26" s="146">
        <f t="shared" si="5"/>
        <v>0</v>
      </c>
      <c r="M26" s="146">
        <f t="shared" si="5"/>
        <v>0</v>
      </c>
      <c r="N26" s="146">
        <f t="shared" si="5"/>
        <v>0</v>
      </c>
      <c r="O26" s="146">
        <f t="shared" si="5"/>
        <v>0</v>
      </c>
      <c r="P26" s="146">
        <f t="shared" si="5"/>
        <v>0</v>
      </c>
      <c r="Q26" s="146">
        <f t="shared" si="5"/>
        <v>0</v>
      </c>
      <c r="R26" s="342">
        <f>SUM(R17:R25)</f>
        <v>15184800</v>
      </c>
      <c r="S26" s="150">
        <f>SUM(S17:S25)</f>
        <v>15184800</v>
      </c>
      <c r="T26" s="150">
        <f>SUM(T17:T25)</f>
        <v>0</v>
      </c>
      <c r="U26" s="143"/>
    </row>
    <row r="27" spans="1:21" s="144" customFormat="1">
      <c r="A27" s="149" t="s">
        <v>141</v>
      </c>
      <c r="B27" s="146">
        <f>SUM(C27:D27)</f>
        <v>100000</v>
      </c>
      <c r="C27" s="147">
        <v>100000</v>
      </c>
      <c r="D27" s="147"/>
      <c r="E27" s="147">
        <v>100000</v>
      </c>
      <c r="F27" s="147"/>
      <c r="G27" s="147"/>
      <c r="H27" s="147"/>
      <c r="I27" s="147"/>
      <c r="J27" s="147"/>
      <c r="K27" s="147"/>
      <c r="L27" s="147"/>
      <c r="M27" s="147"/>
      <c r="N27" s="147"/>
      <c r="O27" s="147"/>
      <c r="P27" s="147"/>
      <c r="Q27" s="147"/>
      <c r="R27" s="516">
        <f t="shared" si="4"/>
        <v>100000</v>
      </c>
      <c r="S27" s="147">
        <v>100000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v>
      </c>
      <c r="C40" s="147">
        <v>50000</v>
      </c>
      <c r="D40" s="147"/>
      <c r="E40" s="147">
        <v>50000</v>
      </c>
      <c r="F40" s="147"/>
      <c r="G40" s="147"/>
      <c r="H40" s="147"/>
      <c r="I40" s="147"/>
      <c r="J40" s="147"/>
      <c r="K40" s="147"/>
      <c r="L40" s="147"/>
      <c r="M40" s="147"/>
      <c r="N40" s="147"/>
      <c r="O40" s="147"/>
      <c r="P40" s="147"/>
      <c r="Q40" s="147"/>
      <c r="R40" s="516">
        <f>SUM(E40:Q40)</f>
        <v>50000</v>
      </c>
      <c r="S40" s="147">
        <v>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50000</v>
      </c>
      <c r="C42" s="146">
        <f>SUM(C39:C41)</f>
        <v>50000</v>
      </c>
      <c r="D42" s="146">
        <f>SUM(D39:D41)</f>
        <v>0</v>
      </c>
      <c r="E42" s="146">
        <f t="shared" ref="E42:T42" si="9">SUM(E40:E41)</f>
        <v>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50000</v>
      </c>
      <c r="S42" s="150">
        <f t="shared" si="9"/>
        <v>50000</v>
      </c>
      <c r="T42" s="150">
        <f t="shared" si="9"/>
        <v>0</v>
      </c>
      <c r="U42" s="143"/>
    </row>
    <row r="43" spans="1:21" s="144" customFormat="1">
      <c r="A43" s="149" t="s">
        <v>148</v>
      </c>
      <c r="B43" s="146">
        <f>SUM(C43:D43)</f>
        <v>50000</v>
      </c>
      <c r="C43" s="147">
        <v>50000</v>
      </c>
      <c r="D43" s="147"/>
      <c r="E43" s="147">
        <v>50000</v>
      </c>
      <c r="F43" s="147"/>
      <c r="G43" s="147"/>
      <c r="H43" s="147"/>
      <c r="I43" s="147"/>
      <c r="J43" s="147"/>
      <c r="K43" s="147"/>
      <c r="L43" s="147"/>
      <c r="M43" s="147"/>
      <c r="N43" s="147"/>
      <c r="O43" s="147"/>
      <c r="P43" s="147"/>
      <c r="Q43" s="147"/>
      <c r="R43" s="516">
        <f>SUM(E43:Q43)</f>
        <v>50000</v>
      </c>
      <c r="S43" s="147">
        <v>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3684456</v>
      </c>
      <c r="C45" s="147">
        <v>3684456</v>
      </c>
      <c r="D45" s="147"/>
      <c r="E45" s="147">
        <v>3684456</v>
      </c>
      <c r="F45" s="147"/>
      <c r="G45" s="147"/>
      <c r="H45" s="147"/>
      <c r="I45" s="147"/>
      <c r="J45" s="147"/>
      <c r="K45" s="147"/>
      <c r="L45" s="147"/>
      <c r="M45" s="147"/>
      <c r="N45" s="147"/>
      <c r="O45" s="147"/>
      <c r="P45" s="147"/>
      <c r="Q45" s="147"/>
      <c r="R45" s="516">
        <f t="shared" ref="R45:R53" si="11">SUM(E45:Q45)</f>
        <v>3684456</v>
      </c>
      <c r="S45" s="147">
        <v>2750000</v>
      </c>
      <c r="T45" s="147"/>
      <c r="U45" s="143"/>
    </row>
    <row r="46" spans="1:21" s="144" customFormat="1">
      <c r="A46" s="145" t="s">
        <v>151</v>
      </c>
      <c r="B46" s="146">
        <f t="shared" si="10"/>
        <v>398925</v>
      </c>
      <c r="C46" s="147">
        <v>398925</v>
      </c>
      <c r="D46" s="147"/>
      <c r="E46" s="147">
        <v>398925</v>
      </c>
      <c r="F46" s="147"/>
      <c r="G46" s="147"/>
      <c r="H46" s="147"/>
      <c r="I46" s="147"/>
      <c r="J46" s="147"/>
      <c r="K46" s="147"/>
      <c r="L46" s="147"/>
      <c r="M46" s="147"/>
      <c r="N46" s="147"/>
      <c r="O46" s="147"/>
      <c r="P46" s="147"/>
      <c r="Q46" s="147"/>
      <c r="R46" s="516">
        <f t="shared" si="11"/>
        <v>398925</v>
      </c>
      <c r="S46" s="147">
        <v>20000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75000</v>
      </c>
      <c r="C50" s="147">
        <v>75000</v>
      </c>
      <c r="D50" s="147"/>
      <c r="E50" s="147">
        <v>75000</v>
      </c>
      <c r="F50" s="147"/>
      <c r="G50" s="147"/>
      <c r="H50" s="147"/>
      <c r="I50" s="147"/>
      <c r="J50" s="147"/>
      <c r="K50" s="147"/>
      <c r="L50" s="147"/>
      <c r="M50" s="147"/>
      <c r="N50" s="147"/>
      <c r="O50" s="147"/>
      <c r="P50" s="147"/>
      <c r="Q50" s="147"/>
      <c r="R50" s="516">
        <f t="shared" si="11"/>
        <v>75000</v>
      </c>
      <c r="S50" s="147">
        <v>75000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3" t="s">
        <v>2761</v>
      </c>
      <c r="B53" s="146">
        <f t="shared" si="10"/>
        <v>400000</v>
      </c>
      <c r="C53" s="147">
        <v>400000</v>
      </c>
      <c r="D53" s="147"/>
      <c r="E53" s="147">
        <v>400000</v>
      </c>
      <c r="F53" s="147"/>
      <c r="G53" s="147"/>
      <c r="H53" s="147"/>
      <c r="I53" s="147"/>
      <c r="J53" s="147"/>
      <c r="K53" s="147"/>
      <c r="L53" s="147"/>
      <c r="M53" s="147"/>
      <c r="N53" s="147"/>
      <c r="O53" s="147"/>
      <c r="P53" s="147"/>
      <c r="Q53" s="147"/>
      <c r="R53" s="516">
        <f t="shared" si="11"/>
        <v>400000</v>
      </c>
      <c r="S53" s="147">
        <v>400000</v>
      </c>
      <c r="T53" s="147"/>
      <c r="U53" s="143"/>
    </row>
    <row r="54" spans="1:21" s="153" customFormat="1">
      <c r="A54" s="149" t="s">
        <v>157</v>
      </c>
      <c r="B54" s="150">
        <f>SUM(C54:D54)</f>
        <v>4558381</v>
      </c>
      <c r="C54" s="150">
        <f t="shared" ref="C54:T54" si="12">SUM(C45:C53)</f>
        <v>4558381</v>
      </c>
      <c r="D54" s="150">
        <f t="shared" si="12"/>
        <v>0</v>
      </c>
      <c r="E54" s="150">
        <f t="shared" si="12"/>
        <v>4558381</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4558381</v>
      </c>
      <c r="S54" s="150">
        <f t="shared" si="12"/>
        <v>3245000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0</v>
      </c>
      <c r="C62" s="146">
        <f t="shared" ref="C62:R62" si="15">SUM(C56:C61)</f>
        <v>0</v>
      </c>
      <c r="D62" s="146">
        <f t="shared" si="15"/>
        <v>0</v>
      </c>
      <c r="E62" s="146">
        <f t="shared" si="15"/>
        <v>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0</v>
      </c>
      <c r="S62" s="148"/>
      <c r="T62" s="148"/>
      <c r="U62" s="143"/>
    </row>
    <row r="63" spans="1:21" s="144" customFormat="1">
      <c r="A63" s="154" t="s">
        <v>302</v>
      </c>
      <c r="B63" s="146">
        <f t="shared" ref="B63:R63" si="16">SUM(B8+B11+B13+B14+B15+B26+B27+B38+B42+B43+B54+B62)</f>
        <v>65231206</v>
      </c>
      <c r="C63" s="146">
        <f t="shared" si="16"/>
        <v>65231206</v>
      </c>
      <c r="D63" s="146">
        <f t="shared" si="16"/>
        <v>0</v>
      </c>
      <c r="E63" s="146">
        <f t="shared" si="16"/>
        <v>17343781</v>
      </c>
      <c r="F63" s="146">
        <f t="shared" si="16"/>
        <v>27190000</v>
      </c>
      <c r="G63" s="146">
        <f t="shared" si="16"/>
        <v>9088225</v>
      </c>
      <c r="H63" s="146">
        <f t="shared" si="16"/>
        <v>10000000</v>
      </c>
      <c r="I63" s="146">
        <f t="shared" si="16"/>
        <v>1008935</v>
      </c>
      <c r="J63" s="146">
        <f t="shared" si="16"/>
        <v>600265</v>
      </c>
      <c r="K63" s="146">
        <f t="shared" si="16"/>
        <v>0</v>
      </c>
      <c r="L63" s="146">
        <f t="shared" si="16"/>
        <v>0</v>
      </c>
      <c r="M63" s="146">
        <f t="shared" si="16"/>
        <v>0</v>
      </c>
      <c r="N63" s="146">
        <f t="shared" si="16"/>
        <v>0</v>
      </c>
      <c r="O63" s="146">
        <f t="shared" si="16"/>
        <v>0</v>
      </c>
      <c r="P63" s="146">
        <f t="shared" si="16"/>
        <v>0</v>
      </c>
      <c r="Q63" s="146">
        <f t="shared" si="16"/>
        <v>0</v>
      </c>
      <c r="R63" s="342">
        <f t="shared" si="16"/>
        <v>65231206</v>
      </c>
      <c r="S63" s="146">
        <f>SUM(S10+S13+S14+S15+S26+S27+S38+S42+S43+S54)</f>
        <v>18629800</v>
      </c>
      <c r="T63" s="146">
        <f>SUM(T11+T13+T14+T15+T26+T27+T38+T42+T43+T54)</f>
        <v>33200000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132492</v>
      </c>
      <c r="C65" s="147">
        <v>132492</v>
      </c>
      <c r="D65" s="147"/>
      <c r="E65" s="147">
        <v>132492</v>
      </c>
      <c r="F65" s="147"/>
      <c r="G65" s="147"/>
      <c r="H65" s="147"/>
      <c r="I65" s="147"/>
      <c r="J65" s="147"/>
      <c r="K65" s="147"/>
      <c r="L65" s="147"/>
      <c r="M65" s="147"/>
      <c r="N65" s="147"/>
      <c r="O65" s="147"/>
      <c r="P65" s="147"/>
      <c r="Q65" s="147"/>
      <c r="R65" s="516">
        <f>SUM(E65:Q65)</f>
        <v>132492</v>
      </c>
      <c r="S65" s="147"/>
      <c r="T65" s="147"/>
      <c r="U65" s="143"/>
    </row>
    <row r="66" spans="1:21" s="144" customFormat="1" ht="24" customHeight="1">
      <c r="A66" s="283" t="s">
        <v>1630</v>
      </c>
      <c r="B66" s="146">
        <f>SUM(C66+D66)</f>
        <v>100000</v>
      </c>
      <c r="C66" s="147">
        <v>100000</v>
      </c>
      <c r="D66" s="147"/>
      <c r="E66" s="147">
        <v>100000</v>
      </c>
      <c r="F66" s="147"/>
      <c r="G66" s="147"/>
      <c r="H66" s="147"/>
      <c r="I66" s="147"/>
      <c r="J66" s="147"/>
      <c r="K66" s="147"/>
      <c r="L66" s="147"/>
      <c r="M66" s="147"/>
      <c r="N66" s="147"/>
      <c r="O66" s="147"/>
      <c r="P66" s="147"/>
      <c r="Q66" s="147"/>
      <c r="R66" s="516">
        <f>SUM(E66:Q66)</f>
        <v>100000</v>
      </c>
      <c r="S66" s="147">
        <v>80000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2764</v>
      </c>
      <c r="B69" s="146">
        <f>SUM(C69+D69)</f>
        <v>24500</v>
      </c>
      <c r="C69" s="147">
        <v>24500</v>
      </c>
      <c r="D69" s="147"/>
      <c r="E69" s="147">
        <v>24500</v>
      </c>
      <c r="F69" s="147"/>
      <c r="G69" s="147"/>
      <c r="H69" s="147"/>
      <c r="I69" s="147"/>
      <c r="J69" s="147"/>
      <c r="K69" s="147"/>
      <c r="L69" s="147"/>
      <c r="M69" s="147"/>
      <c r="N69" s="147"/>
      <c r="O69" s="147"/>
      <c r="P69" s="147"/>
      <c r="Q69" s="147"/>
      <c r="R69" s="516">
        <f>SUM(E69:Q69)</f>
        <v>24500</v>
      </c>
      <c r="S69" s="147"/>
      <c r="T69" s="147"/>
      <c r="U69" s="143"/>
    </row>
    <row r="70" spans="1:21" s="144" customFormat="1">
      <c r="A70" s="149" t="s">
        <v>1634</v>
      </c>
      <c r="B70" s="146">
        <f>SUM(C70:D70)</f>
        <v>256992</v>
      </c>
      <c r="C70" s="146">
        <f>SUM(C65:C69)</f>
        <v>256992</v>
      </c>
      <c r="D70" s="146">
        <f>SUM(D65:D69)</f>
        <v>0</v>
      </c>
      <c r="E70" s="146">
        <f t="shared" ref="E70:T70" si="17">SUM(E65:E69)</f>
        <v>256992</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256992</v>
      </c>
      <c r="S70" s="150">
        <f t="shared" si="17"/>
        <v>80000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804216</v>
      </c>
      <c r="C75" s="147">
        <v>804216</v>
      </c>
      <c r="D75" s="147"/>
      <c r="E75" s="147">
        <v>804216</v>
      </c>
      <c r="F75" s="147"/>
      <c r="G75" s="147"/>
      <c r="H75" s="147"/>
      <c r="I75" s="147"/>
      <c r="J75" s="147"/>
      <c r="K75" s="147"/>
      <c r="L75" s="147"/>
      <c r="M75" s="147"/>
      <c r="N75" s="147"/>
      <c r="O75" s="147"/>
      <c r="P75" s="147"/>
      <c r="Q75" s="147"/>
      <c r="R75" s="516">
        <f>SUM(E75:Q75)</f>
        <v>804216</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804216</v>
      </c>
      <c r="C77" s="146">
        <f>SUM(C72:C76)</f>
        <v>804216</v>
      </c>
      <c r="D77" s="146">
        <f>SUM(D72:D76)</f>
        <v>0</v>
      </c>
      <c r="E77" s="146">
        <f t="shared" ref="E77:Q77" si="18">SUM(E72:E76)</f>
        <v>804216</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804216</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759240</v>
      </c>
      <c r="C79" s="147">
        <v>759240</v>
      </c>
      <c r="D79" s="147"/>
      <c r="E79" s="147">
        <v>759240</v>
      </c>
      <c r="F79" s="147"/>
      <c r="G79" s="147"/>
      <c r="H79" s="147"/>
      <c r="I79" s="147"/>
      <c r="J79" s="147"/>
      <c r="K79" s="147"/>
      <c r="L79" s="147"/>
      <c r="M79" s="147"/>
      <c r="N79" s="147"/>
      <c r="O79" s="147"/>
      <c r="P79" s="147"/>
      <c r="Q79" s="147"/>
      <c r="R79" s="516">
        <f>SUM(E79:Q79)</f>
        <v>759240</v>
      </c>
      <c r="S79" s="147">
        <v>759240</v>
      </c>
      <c r="T79" s="147"/>
      <c r="U79" s="143"/>
    </row>
    <row r="80" spans="1:21" s="144" customFormat="1">
      <c r="A80" s="283" t="s">
        <v>58</v>
      </c>
      <c r="B80" s="146">
        <f>SUM(C80:D80)</f>
        <v>125000</v>
      </c>
      <c r="C80" s="147">
        <v>125000</v>
      </c>
      <c r="D80" s="147"/>
      <c r="E80" s="147">
        <v>125000</v>
      </c>
      <c r="F80" s="147"/>
      <c r="G80" s="147"/>
      <c r="H80" s="147"/>
      <c r="I80" s="147"/>
      <c r="J80" s="147"/>
      <c r="K80" s="147"/>
      <c r="L80" s="147"/>
      <c r="M80" s="147"/>
      <c r="N80" s="147"/>
      <c r="O80" s="147"/>
      <c r="P80" s="147"/>
      <c r="Q80" s="147"/>
      <c r="R80" s="516">
        <f>SUM(E80:Q80)</f>
        <v>125000</v>
      </c>
      <c r="S80" s="147">
        <v>125000</v>
      </c>
      <c r="T80" s="147"/>
      <c r="U80" s="143"/>
    </row>
    <row r="81" spans="1:21" s="144" customFormat="1">
      <c r="A81" s="149" t="s">
        <v>1209</v>
      </c>
      <c r="B81" s="146">
        <f>SUM(C81:D81)</f>
        <v>884240</v>
      </c>
      <c r="C81" s="509">
        <f>SUM(C79:C80)</f>
        <v>884240</v>
      </c>
      <c r="D81" s="509">
        <f t="shared" ref="D81:T81" si="19">SUM(D79:D80)</f>
        <v>0</v>
      </c>
      <c r="E81" s="509">
        <f t="shared" si="19"/>
        <v>884240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884240</v>
      </c>
      <c r="S81" s="509">
        <f t="shared" si="19"/>
        <v>884240</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0">SUM(C83+D83)</f>
        <v>120000</v>
      </c>
      <c r="C83" s="147">
        <v>120000</v>
      </c>
      <c r="D83" s="147"/>
      <c r="E83" s="147">
        <v>120000</v>
      </c>
      <c r="F83" s="147"/>
      <c r="G83" s="147"/>
      <c r="H83" s="147"/>
      <c r="I83" s="147"/>
      <c r="J83" s="147"/>
      <c r="K83" s="147"/>
      <c r="L83" s="147"/>
      <c r="M83" s="147"/>
      <c r="N83" s="147"/>
      <c r="O83" s="147"/>
      <c r="P83" s="147"/>
      <c r="Q83" s="147"/>
      <c r="R83" s="516">
        <f t="shared" ref="R83:R95" si="21">SUM(E83:Q83)</f>
        <v>120000</v>
      </c>
      <c r="S83" s="148"/>
      <c r="T83" s="148"/>
      <c r="U83" s="143"/>
    </row>
    <row r="84" spans="1:21" s="144" customFormat="1">
      <c r="A84" s="145" t="s">
        <v>767</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100000</v>
      </c>
      <c r="C86" s="147">
        <v>100000</v>
      </c>
      <c r="D86" s="147"/>
      <c r="E86" s="147">
        <v>100000</v>
      </c>
      <c r="F86" s="147"/>
      <c r="G86" s="147"/>
      <c r="H86" s="147"/>
      <c r="I86" s="147"/>
      <c r="J86" s="147"/>
      <c r="K86" s="147"/>
      <c r="L86" s="147"/>
      <c r="M86" s="147"/>
      <c r="N86" s="147"/>
      <c r="O86" s="147"/>
      <c r="P86" s="147"/>
      <c r="Q86" s="147"/>
      <c r="R86" s="516">
        <f t="shared" si="21"/>
        <v>100000</v>
      </c>
      <c r="S86" s="147">
        <v>100000</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772</v>
      </c>
      <c r="B89" s="146">
        <f t="shared" si="20"/>
        <v>300000</v>
      </c>
      <c r="C89" s="147">
        <v>300000</v>
      </c>
      <c r="D89" s="147"/>
      <c r="E89" s="147">
        <v>300000</v>
      </c>
      <c r="F89" s="147"/>
      <c r="G89" s="147"/>
      <c r="H89" s="147"/>
      <c r="I89" s="147"/>
      <c r="J89" s="147"/>
      <c r="K89" s="147"/>
      <c r="L89" s="147"/>
      <c r="M89" s="147"/>
      <c r="N89" s="147"/>
      <c r="O89" s="147"/>
      <c r="P89" s="147"/>
      <c r="Q89" s="147"/>
      <c r="R89" s="516">
        <f t="shared" si="21"/>
        <v>300000</v>
      </c>
      <c r="S89" s="147">
        <v>300000</v>
      </c>
      <c r="T89" s="147"/>
      <c r="U89" s="143"/>
    </row>
    <row r="90" spans="1:21" s="144" customFormat="1">
      <c r="A90" s="145" t="s">
        <v>773</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v>10000</v>
      </c>
      <c r="T90" s="147"/>
      <c r="U90" s="143"/>
    </row>
    <row r="91" spans="1:21" s="144" customFormat="1">
      <c r="A91" s="145" t="s">
        <v>372</v>
      </c>
      <c r="B91" s="146">
        <f t="shared" si="20"/>
        <v>75000</v>
      </c>
      <c r="C91" s="147">
        <v>75000</v>
      </c>
      <c r="D91" s="147"/>
      <c r="E91" s="147">
        <v>75000</v>
      </c>
      <c r="F91" s="147"/>
      <c r="G91" s="147"/>
      <c r="H91" s="147"/>
      <c r="I91" s="147"/>
      <c r="J91" s="147"/>
      <c r="K91" s="147"/>
      <c r="L91" s="147"/>
      <c r="M91" s="147"/>
      <c r="N91" s="147"/>
      <c r="O91" s="147"/>
      <c r="P91" s="147"/>
      <c r="Q91" s="147"/>
      <c r="R91" s="516">
        <f t="shared" si="21"/>
        <v>75000</v>
      </c>
      <c r="S91" s="147">
        <v>70000</v>
      </c>
      <c r="T91" s="147"/>
      <c r="U91" s="143"/>
    </row>
    <row r="92" spans="1:21" s="144" customFormat="1">
      <c r="A92" s="283" t="s">
        <v>1211</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v>10000</v>
      </c>
      <c r="T92" s="147"/>
      <c r="U92" s="143"/>
    </row>
    <row r="93" spans="1:21" s="144" customFormat="1">
      <c r="A93" s="1143" t="s">
        <v>2762</v>
      </c>
      <c r="B93" s="146">
        <f t="shared" si="20"/>
        <v>20000</v>
      </c>
      <c r="C93" s="147">
        <v>20000</v>
      </c>
      <c r="D93" s="147"/>
      <c r="E93" s="147">
        <v>20000</v>
      </c>
      <c r="F93" s="147"/>
      <c r="G93" s="147"/>
      <c r="H93" s="147"/>
      <c r="I93" s="147"/>
      <c r="J93" s="147"/>
      <c r="K93" s="147"/>
      <c r="L93" s="147"/>
      <c r="M93" s="147"/>
      <c r="N93" s="147"/>
      <c r="O93" s="147"/>
      <c r="P93" s="147"/>
      <c r="Q93" s="147"/>
      <c r="R93" s="516">
        <f t="shared" si="21"/>
        <v>20000</v>
      </c>
      <c r="S93" s="147">
        <v>20000</v>
      </c>
      <c r="T93" s="147"/>
      <c r="U93" s="143"/>
    </row>
    <row r="94" spans="1:21" s="144" customFormat="1">
      <c r="A94" s="1143" t="s">
        <v>2763</v>
      </c>
      <c r="B94" s="146">
        <f t="shared" si="20"/>
        <v>26000</v>
      </c>
      <c r="C94" s="147">
        <v>26000</v>
      </c>
      <c r="D94" s="147"/>
      <c r="E94" s="147">
        <v>26000</v>
      </c>
      <c r="F94" s="147"/>
      <c r="G94" s="147"/>
      <c r="H94" s="147"/>
      <c r="I94" s="147"/>
      <c r="J94" s="147"/>
      <c r="K94" s="147"/>
      <c r="L94" s="147"/>
      <c r="M94" s="147"/>
      <c r="N94" s="147"/>
      <c r="O94" s="147"/>
      <c r="P94" s="147"/>
      <c r="Q94" s="147"/>
      <c r="R94" s="516">
        <f t="shared" si="21"/>
        <v>26000</v>
      </c>
      <c r="S94" s="147">
        <v>26000</v>
      </c>
      <c r="T94" s="147"/>
      <c r="U94" s="143"/>
    </row>
    <row r="95" spans="1:21" s="144" customFormat="1">
      <c r="A95" s="1143" t="s">
        <v>34</v>
      </c>
      <c r="B95" s="146">
        <f t="shared" si="20"/>
        <v>0</v>
      </c>
      <c r="C95" s="147">
        <v>0</v>
      </c>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661000</v>
      </c>
      <c r="C96" s="146">
        <f t="shared" ref="C96:R96" si="22">SUM(C83:C95)</f>
        <v>661000</v>
      </c>
      <c r="D96" s="146">
        <f t="shared" si="22"/>
        <v>0</v>
      </c>
      <c r="E96" s="146">
        <f t="shared" si="22"/>
        <v>661000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661000</v>
      </c>
      <c r="S96" s="150">
        <f>SUM(S84:S87,S89:S95)</f>
        <v>536000</v>
      </c>
      <c r="T96" s="146">
        <f>SUM(T84:T87,T89:T95)</f>
        <v>0</v>
      </c>
      <c r="U96" s="143"/>
    </row>
    <row r="97" spans="1:21" s="144" customFormat="1">
      <c r="A97" s="149" t="s">
        <v>775</v>
      </c>
      <c r="B97" s="146">
        <f>SUM(C97:D97)</f>
        <v>67837654</v>
      </c>
      <c r="C97" s="146">
        <f t="shared" ref="C97:R97" si="23">SUM(C63+C70+C77+C81+C96)</f>
        <v>67837654</v>
      </c>
      <c r="D97" s="146">
        <f t="shared" si="23"/>
        <v>0</v>
      </c>
      <c r="E97" s="146">
        <f t="shared" si="23"/>
        <v>19950229</v>
      </c>
      <c r="F97" s="146">
        <f t="shared" si="23"/>
        <v>27190000</v>
      </c>
      <c r="G97" s="146">
        <f t="shared" si="23"/>
        <v>9088225</v>
      </c>
      <c r="H97" s="146">
        <f t="shared" si="23"/>
        <v>10000000</v>
      </c>
      <c r="I97" s="146">
        <f t="shared" si="23"/>
        <v>1008935</v>
      </c>
      <c r="J97" s="146">
        <f t="shared" si="23"/>
        <v>600265</v>
      </c>
      <c r="K97" s="146">
        <f t="shared" si="23"/>
        <v>0</v>
      </c>
      <c r="L97" s="146">
        <f t="shared" si="23"/>
        <v>0</v>
      </c>
      <c r="M97" s="146">
        <f t="shared" si="23"/>
        <v>0</v>
      </c>
      <c r="N97" s="146">
        <f t="shared" si="23"/>
        <v>0</v>
      </c>
      <c r="O97" s="146">
        <f t="shared" si="23"/>
        <v>0</v>
      </c>
      <c r="P97" s="146">
        <f t="shared" si="23"/>
        <v>0</v>
      </c>
      <c r="Q97" s="146">
        <f t="shared" si="23"/>
        <v>0</v>
      </c>
      <c r="R97" s="146">
        <f t="shared" si="23"/>
        <v>67837654</v>
      </c>
      <c r="S97" s="146">
        <f>SUM(S63+S70+S81+S96)</f>
        <v>20130040</v>
      </c>
      <c r="T97" s="146">
        <f>SUM(T63+T70+T81+T96)</f>
        <v>33200000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4679506</v>
      </c>
      <c r="C99" s="974">
        <v>4679506</v>
      </c>
      <c r="D99" s="974"/>
      <c r="E99" s="974">
        <v>1769063</v>
      </c>
      <c r="F99" s="147"/>
      <c r="G99" s="147"/>
      <c r="H99" s="147"/>
      <c r="I99" s="147"/>
      <c r="J99" s="147"/>
      <c r="K99" s="147">
        <v>2910443</v>
      </c>
      <c r="L99" s="147"/>
      <c r="M99" s="147"/>
      <c r="N99" s="147"/>
      <c r="O99" s="147"/>
      <c r="P99" s="147"/>
      <c r="Q99" s="147"/>
      <c r="R99" s="516">
        <f>SUM(E99:Q99)</f>
        <v>4679506</v>
      </c>
      <c r="S99" s="147">
        <v>3019506</v>
      </c>
      <c r="T99" s="147">
        <v>1346338</v>
      </c>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4679506</v>
      </c>
      <c r="C104" s="146">
        <f>SUM(C99:C103)</f>
        <v>4679506</v>
      </c>
      <c r="D104" s="146">
        <f t="shared" ref="D104:T104" si="24">SUM(D99:D103)</f>
        <v>0</v>
      </c>
      <c r="E104" s="146">
        <f t="shared" si="24"/>
        <v>1769063</v>
      </c>
      <c r="F104" s="146">
        <f t="shared" si="24"/>
        <v>0</v>
      </c>
      <c r="G104" s="146">
        <f t="shared" si="24"/>
        <v>0</v>
      </c>
      <c r="H104" s="146">
        <f t="shared" si="24"/>
        <v>0</v>
      </c>
      <c r="I104" s="146">
        <f t="shared" si="24"/>
        <v>0</v>
      </c>
      <c r="J104" s="146">
        <f t="shared" si="24"/>
        <v>0</v>
      </c>
      <c r="K104" s="146">
        <f t="shared" si="24"/>
        <v>2910443</v>
      </c>
      <c r="L104" s="146">
        <f t="shared" si="24"/>
        <v>0</v>
      </c>
      <c r="M104" s="146">
        <f t="shared" si="24"/>
        <v>0</v>
      </c>
      <c r="N104" s="146">
        <f t="shared" si="24"/>
        <v>0</v>
      </c>
      <c r="O104" s="146">
        <f t="shared" si="24"/>
        <v>0</v>
      </c>
      <c r="P104" s="146">
        <f t="shared" si="24"/>
        <v>0</v>
      </c>
      <c r="Q104" s="146">
        <f t="shared" si="24"/>
        <v>0</v>
      </c>
      <c r="R104" s="342">
        <f t="shared" si="24"/>
        <v>4679506</v>
      </c>
      <c r="S104" s="150">
        <f t="shared" si="24"/>
        <v>3019506</v>
      </c>
      <c r="T104" s="150">
        <f t="shared" si="24"/>
        <v>1346338</v>
      </c>
      <c r="U104" s="143"/>
    </row>
    <row r="105" spans="1:21" s="144" customFormat="1">
      <c r="A105" s="149" t="s">
        <v>780</v>
      </c>
      <c r="B105" s="150">
        <f>SUM(C105:D105)</f>
        <v>72517160</v>
      </c>
      <c r="C105" s="150">
        <f t="shared" ref="C105:R105" si="25">SUM(C97+C104)</f>
        <v>72517160</v>
      </c>
      <c r="D105" s="150">
        <f t="shared" si="25"/>
        <v>0</v>
      </c>
      <c r="E105" s="150">
        <f t="shared" si="25"/>
        <v>21719292</v>
      </c>
      <c r="F105" s="150">
        <f t="shared" si="25"/>
        <v>27190000</v>
      </c>
      <c r="G105" s="150">
        <f t="shared" si="25"/>
        <v>9088225</v>
      </c>
      <c r="H105" s="150">
        <f t="shared" si="25"/>
        <v>10000000</v>
      </c>
      <c r="I105" s="150">
        <f t="shared" si="25"/>
        <v>1008935</v>
      </c>
      <c r="J105" s="150">
        <f t="shared" si="25"/>
        <v>600265</v>
      </c>
      <c r="K105" s="150">
        <f t="shared" si="25"/>
        <v>2910443</v>
      </c>
      <c r="L105" s="150">
        <f t="shared" si="25"/>
        <v>0</v>
      </c>
      <c r="M105" s="150">
        <f t="shared" si="25"/>
        <v>0</v>
      </c>
      <c r="N105" s="150">
        <f t="shared" si="25"/>
        <v>0</v>
      </c>
      <c r="O105" s="150">
        <f t="shared" si="25"/>
        <v>0</v>
      </c>
      <c r="P105" s="150">
        <f t="shared" si="25"/>
        <v>0</v>
      </c>
      <c r="Q105" s="150">
        <f t="shared" si="25"/>
        <v>0</v>
      </c>
      <c r="R105" s="342">
        <f t="shared" si="25"/>
        <v>72517160</v>
      </c>
      <c r="S105" s="150">
        <f>S97+S104</f>
        <v>23149546</v>
      </c>
      <c r="T105" s="150">
        <f>T97+T104</f>
        <v>34546338</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23149546</v>
      </c>
      <c r="T107" s="150">
        <f>T105+T106</f>
        <v>34546338</v>
      </c>
    </row>
    <row r="108" spans="1:21" s="189" customFormat="1">
      <c r="A108" s="162" t="s">
        <v>879</v>
      </c>
      <c r="B108" s="157"/>
      <c r="C108" s="157"/>
      <c r="D108" s="157"/>
      <c r="E108" s="301">
        <f>Application!AO648</f>
        <v>21719292</v>
      </c>
      <c r="F108" s="301">
        <f>Application!AO635</f>
        <v>27190000</v>
      </c>
      <c r="G108" s="301">
        <f>Application!AO636</f>
        <v>9088225</v>
      </c>
      <c r="H108" s="301">
        <f>Application!AO637</f>
        <v>10000000</v>
      </c>
      <c r="I108" s="301">
        <f>Application!AO638</f>
        <v>1008935</v>
      </c>
      <c r="J108" s="301">
        <f>Application!AO639</f>
        <v>600265</v>
      </c>
      <c r="K108" s="301">
        <f>Application!AO640</f>
        <v>2910443</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9" t="s">
        <v>990</v>
      </c>
      <c r="E122" s="1879"/>
      <c r="F122" s="1879"/>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1" t="s">
        <v>1224</v>
      </c>
      <c r="E123" s="1486"/>
      <c r="F123" s="1486"/>
      <c r="G123" s="1486"/>
      <c r="H123" s="1486"/>
      <c r="I123" s="1486"/>
      <c r="J123" s="1486"/>
      <c r="K123" s="1486"/>
      <c r="L123" s="1486"/>
      <c r="M123" s="1486"/>
      <c r="N123" s="1486"/>
      <c r="O123" s="1486"/>
      <c r="P123" s="1486"/>
      <c r="Q123" s="1486"/>
      <c r="R123" s="1486"/>
      <c r="S123" s="1486"/>
      <c r="T123" s="324"/>
      <c r="U123" s="326"/>
    </row>
    <row r="124" spans="1:21" ht="12.75">
      <c r="A124" s="117" t="s">
        <v>992</v>
      </c>
      <c r="B124" s="333"/>
      <c r="C124" s="117"/>
      <c r="D124" s="1486"/>
      <c r="E124" s="1486"/>
      <c r="F124" s="1486"/>
      <c r="G124" s="1486"/>
      <c r="H124" s="1486"/>
      <c r="I124" s="1486"/>
      <c r="J124" s="1486"/>
      <c r="K124" s="1486"/>
      <c r="L124" s="1486"/>
      <c r="M124" s="1486"/>
      <c r="N124" s="1486"/>
      <c r="O124" s="1486"/>
      <c r="P124" s="1486"/>
      <c r="Q124" s="1486"/>
      <c r="R124" s="1486"/>
      <c r="S124" s="1486"/>
      <c r="T124" s="324"/>
      <c r="U124" s="326"/>
    </row>
    <row r="125" spans="1:21" ht="12.75">
      <c r="A125" s="117" t="s">
        <v>993</v>
      </c>
      <c r="B125" s="333"/>
      <c r="C125" s="117"/>
      <c r="D125" s="1486"/>
      <c r="E125" s="1486"/>
      <c r="F125" s="1486"/>
      <c r="G125" s="1486"/>
      <c r="H125" s="1486"/>
      <c r="I125" s="1486"/>
      <c r="J125" s="1486"/>
      <c r="K125" s="1486"/>
      <c r="L125" s="1486"/>
      <c r="M125" s="1486"/>
      <c r="N125" s="1486"/>
      <c r="O125" s="1486"/>
      <c r="P125" s="1486"/>
      <c r="Q125" s="1486"/>
      <c r="R125" s="1486"/>
      <c r="S125" s="1486"/>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4"/>
      <c r="E128" s="1874"/>
      <c r="F128" s="1874"/>
      <c r="G128" s="1874"/>
      <c r="H128" s="1874"/>
      <c r="I128" s="117"/>
      <c r="J128" s="1870"/>
      <c r="K128" s="1870"/>
      <c r="L128" s="117"/>
      <c r="M128" s="117"/>
      <c r="N128" s="117"/>
      <c r="O128" s="117"/>
      <c r="P128" s="117"/>
      <c r="Q128" s="117"/>
      <c r="R128" s="117"/>
      <c r="S128" s="117"/>
      <c r="T128" s="324"/>
      <c r="U128" s="326"/>
    </row>
    <row r="129" spans="1:21" ht="12.75">
      <c r="A129" s="117" t="s">
        <v>300</v>
      </c>
      <c r="B129" s="333"/>
      <c r="C129" s="117"/>
      <c r="D129" s="1878" t="s">
        <v>997</v>
      </c>
      <c r="E129" s="1878"/>
      <c r="F129" s="1878"/>
      <c r="G129" s="1878"/>
      <c r="H129" s="187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455"/>
      <c r="E131" s="1455"/>
      <c r="F131" s="1455"/>
      <c r="G131" s="1455"/>
      <c r="H131" s="1455"/>
      <c r="I131" s="117"/>
      <c r="J131" s="1455"/>
      <c r="K131" s="1455"/>
      <c r="L131" s="1455"/>
      <c r="M131" s="1455"/>
      <c r="N131" s="117"/>
      <c r="O131" s="117"/>
      <c r="P131" s="117"/>
      <c r="Q131" s="117"/>
      <c r="R131" s="117"/>
      <c r="S131" s="117"/>
      <c r="T131" s="324"/>
      <c r="U131" s="326"/>
    </row>
    <row r="132" spans="1:21" ht="12" customHeight="1">
      <c r="A132" s="336"/>
      <c r="B132" s="117"/>
      <c r="C132" s="117"/>
      <c r="D132" s="1872" t="s">
        <v>1000</v>
      </c>
      <c r="E132" s="1872"/>
      <c r="F132" s="1872"/>
      <c r="G132" s="1872"/>
      <c r="H132" s="1872"/>
      <c r="I132" s="117"/>
      <c r="J132" s="1872" t="s">
        <v>1001</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74"/>
      <c r="C138" s="1874"/>
      <c r="D138" s="328"/>
      <c r="E138" s="1870"/>
      <c r="F138" s="1870"/>
      <c r="G138" s="117"/>
      <c r="H138" s="117"/>
      <c r="I138" s="117"/>
      <c r="J138" s="117"/>
      <c r="K138" s="117"/>
      <c r="L138" s="117"/>
      <c r="M138" s="117"/>
      <c r="N138" s="117"/>
      <c r="O138" s="117"/>
      <c r="P138" s="117"/>
      <c r="Q138" s="117"/>
      <c r="R138" s="117"/>
      <c r="S138" s="117"/>
      <c r="T138" s="330"/>
      <c r="U138" s="331"/>
    </row>
    <row r="139" spans="1:21" ht="12.75">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2" t="s">
        <v>1227</v>
      </c>
      <c r="B1" s="1883"/>
      <c r="C1" s="1883"/>
      <c r="D1" s="1883"/>
      <c r="E1" s="1883"/>
      <c r="F1" s="1883"/>
      <c r="G1" s="1883"/>
      <c r="H1" s="1883"/>
      <c r="I1" s="1883"/>
      <c r="J1" s="1884"/>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3753151</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3753151</v>
      </c>
      <c r="C8" s="361">
        <f>SUM(C4:C7)</f>
        <v>0</v>
      </c>
      <c r="D8" s="361">
        <f>SUM(D4:D7)</f>
        <v>0</v>
      </c>
      <c r="E8" s="363"/>
      <c r="F8" s="363"/>
      <c r="G8" s="363"/>
      <c r="H8" s="363"/>
      <c r="I8" s="363"/>
      <c r="J8" s="363"/>
      <c r="K8" s="359"/>
    </row>
    <row r="9" spans="1:11" s="360" customFormat="1">
      <c r="A9" s="364" t="s">
        <v>594</v>
      </c>
      <c r="B9" s="361">
        <f>'Sources and Uses Budget'!C9</f>
        <v>41534874</v>
      </c>
      <c r="C9" s="362"/>
      <c r="D9" s="362"/>
      <c r="E9" s="363"/>
      <c r="F9" s="363"/>
      <c r="G9" s="363"/>
      <c r="H9" s="361">
        <f>'Sources and Uses Budget'!T9</f>
        <v>33200000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41534874</v>
      </c>
      <c r="C11" s="361">
        <f>SUM(C9:C10)</f>
        <v>0</v>
      </c>
      <c r="D11" s="361">
        <f>SUM(D9:D10)</f>
        <v>0</v>
      </c>
      <c r="E11" s="363"/>
      <c r="F11" s="363"/>
      <c r="G11" s="363"/>
      <c r="H11" s="361">
        <f>'Sources and Uses Budget'!T11</f>
        <v>33200000</v>
      </c>
      <c r="I11" s="361">
        <f>SUM(I9:I10)</f>
        <v>0</v>
      </c>
      <c r="J11" s="361">
        <f>SUM(J9:J10)</f>
        <v>0</v>
      </c>
      <c r="K11" s="359"/>
    </row>
    <row r="12" spans="1:11" s="360" customFormat="1">
      <c r="A12" s="365" t="s">
        <v>84</v>
      </c>
      <c r="B12" s="361">
        <f>'Sources and Uses Budget'!C12</f>
        <v>45288025</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13320000</v>
      </c>
      <c r="C18" s="362"/>
      <c r="D18" s="362"/>
      <c r="E18" s="361">
        <f>'Sources and Uses Budget'!S18</f>
        <v>13320000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932400</v>
      </c>
      <c r="C20" s="362"/>
      <c r="D20" s="362"/>
      <c r="E20" s="361">
        <f>'Sources and Uses Budget'!S20</f>
        <v>932400</v>
      </c>
      <c r="F20" s="362"/>
      <c r="G20" s="362"/>
      <c r="H20" s="361">
        <f>'Sources and Uses Budget'!T20</f>
        <v>0</v>
      </c>
      <c r="I20" s="362"/>
      <c r="J20" s="362"/>
      <c r="K20" s="359"/>
    </row>
    <row r="21" spans="1:11" s="360" customFormat="1">
      <c r="A21" s="364" t="s">
        <v>138</v>
      </c>
      <c r="B21" s="361">
        <f>'Sources and Uses Budget'!C21</f>
        <v>932400</v>
      </c>
      <c r="C21" s="362"/>
      <c r="D21" s="362"/>
      <c r="E21" s="361">
        <f>'Sources and Uses Budget'!S21</f>
        <v>932400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15184800</v>
      </c>
      <c r="C26" s="361">
        <f>SUM(C17:C25)</f>
        <v>0</v>
      </c>
      <c r="D26" s="361">
        <f>SUM(D17:D25)</f>
        <v>0</v>
      </c>
      <c r="E26" s="361">
        <f>'Sources and Uses Budget'!S26</f>
        <v>15184800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100000</v>
      </c>
      <c r="C27" s="362"/>
      <c r="D27" s="362"/>
      <c r="E27" s="361">
        <f>'Sources and Uses Budget'!S27</f>
        <v>100000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50000</v>
      </c>
      <c r="C40" s="362"/>
      <c r="D40" s="362"/>
      <c r="E40" s="361">
        <f>'Sources and Uses Budget'!S40</f>
        <v>50000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50000</v>
      </c>
      <c r="C42" s="361">
        <f>SUM(C39:C41)</f>
        <v>0</v>
      </c>
      <c r="D42" s="361">
        <f>SUM(D39:D41)</f>
        <v>0</v>
      </c>
      <c r="E42" s="361">
        <f>'Sources and Uses Budget'!S42</f>
        <v>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50000</v>
      </c>
      <c r="C43" s="362"/>
      <c r="D43" s="362"/>
      <c r="E43" s="361">
        <f>'Sources and Uses Budget'!S43</f>
        <v>50000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3684456</v>
      </c>
      <c r="C45" s="362"/>
      <c r="D45" s="362"/>
      <c r="E45" s="361">
        <f>'Sources and Uses Budget'!S45</f>
        <v>2750000</v>
      </c>
      <c r="F45" s="362"/>
      <c r="G45" s="362"/>
      <c r="H45" s="361">
        <f>'Sources and Uses Budget'!T45</f>
        <v>0</v>
      </c>
      <c r="I45" s="362"/>
      <c r="J45" s="362"/>
      <c r="K45" s="359"/>
    </row>
    <row r="46" spans="1:11" s="360" customFormat="1">
      <c r="A46" s="364" t="s">
        <v>151</v>
      </c>
      <c r="B46" s="361">
        <f>'Sources and Uses Budget'!C46</f>
        <v>398925</v>
      </c>
      <c r="C46" s="362"/>
      <c r="D46" s="362"/>
      <c r="E46" s="361">
        <f>'Sources and Uses Budget'!S46</f>
        <v>20000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Construction Guarantee Fee</v>
      </c>
      <c r="B53" s="361">
        <f>'Sources and Uses Budget'!C53</f>
        <v>400000</v>
      </c>
      <c r="C53" s="362"/>
      <c r="D53" s="362"/>
      <c r="E53" s="361">
        <f>'Sources and Uses Budget'!S53</f>
        <v>400000</v>
      </c>
      <c r="F53" s="362"/>
      <c r="G53" s="362"/>
      <c r="H53" s="361">
        <f>'Sources and Uses Budget'!T53</f>
        <v>0</v>
      </c>
      <c r="I53" s="362"/>
      <c r="J53" s="362"/>
      <c r="K53" s="359"/>
    </row>
    <row r="54" spans="1:11" s="369" customFormat="1">
      <c r="A54" s="365" t="s">
        <v>157</v>
      </c>
      <c r="B54" s="361">
        <f>'Sources and Uses Budget'!C54</f>
        <v>4558381</v>
      </c>
      <c r="C54" s="367">
        <f>SUM(C45:C53)</f>
        <v>0</v>
      </c>
      <c r="D54" s="367">
        <f>SUM(D45:D53)</f>
        <v>0</v>
      </c>
      <c r="E54" s="361">
        <f>'Sources and Uses Budget'!S54</f>
        <v>3245000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0</v>
      </c>
      <c r="C62" s="361">
        <f>SUM(C56:C61)</f>
        <v>0</v>
      </c>
      <c r="D62" s="361">
        <f>SUM(D56:D61)</f>
        <v>0</v>
      </c>
      <c r="E62" s="363"/>
      <c r="F62" s="363"/>
      <c r="G62" s="363"/>
      <c r="H62" s="363"/>
      <c r="I62" s="363"/>
      <c r="J62" s="363"/>
      <c r="K62" s="359"/>
    </row>
    <row r="63" spans="1:11" s="360" customFormat="1">
      <c r="A63" s="370" t="s">
        <v>302</v>
      </c>
      <c r="B63" s="361">
        <f>'Sources and Uses Budget'!C63</f>
        <v>65231206</v>
      </c>
      <c r="C63" s="361">
        <f>SUM(C8+C11+C13+C14+C15+C26+C27+C38+C42+C43+C54+C62)</f>
        <v>0</v>
      </c>
      <c r="D63" s="361">
        <f>SUM(D8+D11+D13+D14+D15+D26+D27+D38+D42+D43+D54+D62)</f>
        <v>0</v>
      </c>
      <c r="E63" s="361">
        <f>'Sources and Uses Budget'!S63</f>
        <v>18629800</v>
      </c>
      <c r="F63" s="361">
        <f>SUM(F10+F13+F14+F15+F26+F27+F38+F42+F43+F54)</f>
        <v>0</v>
      </c>
      <c r="G63" s="361">
        <f>SUM(G10+G13+G14+G15+G26+G27+G38+G42+G43+G54)</f>
        <v>0</v>
      </c>
      <c r="H63" s="361">
        <f>'Sources and Uses Budget'!T63</f>
        <v>33200000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132492</v>
      </c>
      <c r="C65" s="362"/>
      <c r="D65" s="362"/>
      <c r="E65" s="361">
        <f>'Sources and Uses Budget'!S65</f>
        <v>0</v>
      </c>
      <c r="F65" s="362"/>
      <c r="G65" s="362"/>
      <c r="H65" s="361">
        <f>'Sources and Uses Budget'!T65</f>
        <v>0</v>
      </c>
      <c r="I65" s="362"/>
      <c r="J65" s="362"/>
      <c r="K65" s="359"/>
    </row>
    <row r="66" spans="1:11" s="360" customFormat="1" ht="24">
      <c r="A66" s="283" t="s">
        <v>1630</v>
      </c>
      <c r="B66" s="361">
        <f>'Sources and Uses Budget'!C66</f>
        <v>100000</v>
      </c>
      <c r="C66" s="362"/>
      <c r="D66" s="362"/>
      <c r="E66" s="361">
        <f>'Sources and Uses Budget'!S66</f>
        <v>80000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Hearthstone Fees and Attorney</v>
      </c>
      <c r="B69" s="361">
        <f>'Sources and Uses Budget'!C69</f>
        <v>24500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256992</v>
      </c>
      <c r="C70" s="361">
        <f>SUM(C64:C69)</f>
        <v>0</v>
      </c>
      <c r="D70" s="361">
        <f>SUM(D64:D69)</f>
        <v>0</v>
      </c>
      <c r="E70" s="361">
        <f>'Sources and Uses Budget'!S70</f>
        <v>80000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804216</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804216</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759240</v>
      </c>
      <c r="C79" s="362"/>
      <c r="D79" s="362"/>
      <c r="E79" s="361">
        <f>'Sources and Uses Budget'!S79</f>
        <v>759240</v>
      </c>
      <c r="F79" s="362"/>
      <c r="G79" s="362"/>
      <c r="H79" s="361">
        <f>'Sources and Uses Budget'!T79</f>
        <v>0</v>
      </c>
      <c r="I79" s="362"/>
      <c r="J79" s="362"/>
      <c r="K79" s="359"/>
    </row>
    <row r="80" spans="1:11" s="360" customFormat="1">
      <c r="A80" s="364" t="s">
        <v>58</v>
      </c>
      <c r="B80" s="361">
        <f>'Sources and Uses Budget'!C80</f>
        <v>125000</v>
      </c>
      <c r="C80" s="362"/>
      <c r="D80" s="362"/>
      <c r="E80" s="361">
        <f>'Sources and Uses Budget'!S80</f>
        <v>125000</v>
      </c>
      <c r="F80" s="362"/>
      <c r="G80" s="362"/>
      <c r="H80" s="361">
        <f>'Sources and Uses Budget'!T80</f>
        <v>0</v>
      </c>
      <c r="I80" s="362"/>
      <c r="J80" s="362"/>
      <c r="K80" s="359"/>
    </row>
    <row r="81" spans="1:11" s="360" customFormat="1">
      <c r="A81" s="365" t="s">
        <v>1209</v>
      </c>
      <c r="B81" s="361">
        <f>'Sources and Uses Budget'!C81</f>
        <v>884240</v>
      </c>
      <c r="C81" s="361">
        <f>SUM(C79:C80)</f>
        <v>0</v>
      </c>
      <c r="D81" s="361">
        <f>SUM(D79:D80)</f>
        <v>0</v>
      </c>
      <c r="E81" s="361">
        <f>'Sources and Uses Budget'!S81</f>
        <v>884240</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120000</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100000</v>
      </c>
      <c r="C86" s="362"/>
      <c r="D86" s="362"/>
      <c r="E86" s="361">
        <f>'Sources and Uses Budget'!S86</f>
        <v>100000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300000</v>
      </c>
      <c r="C89" s="362"/>
      <c r="D89" s="362"/>
      <c r="E89" s="361">
        <f>'Sources and Uses Budget'!S89</f>
        <v>300000</v>
      </c>
      <c r="F89" s="362"/>
      <c r="G89" s="362"/>
      <c r="H89" s="361">
        <f>'Sources and Uses Budget'!T89</f>
        <v>0</v>
      </c>
      <c r="I89" s="362"/>
      <c r="J89" s="362"/>
      <c r="K89" s="359"/>
    </row>
    <row r="90" spans="1:11" s="360" customFormat="1">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75000</v>
      </c>
      <c r="C91" s="362"/>
      <c r="D91" s="362"/>
      <c r="E91" s="361">
        <f>'Sources and Uses Budget'!S91</f>
        <v>70000</v>
      </c>
      <c r="F91" s="362"/>
      <c r="G91" s="362"/>
      <c r="H91" s="361">
        <f>'Sources and Uses Budget'!T91</f>
        <v>0</v>
      </c>
      <c r="I91" s="362"/>
      <c r="J91" s="362"/>
      <c r="K91" s="359"/>
    </row>
    <row r="92" spans="1:11" s="360" customFormat="1">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Final Cost Certification</v>
      </c>
      <c r="B93" s="361">
        <f>'Sources and Uses Budget'!C93</f>
        <v>20000</v>
      </c>
      <c r="C93" s="362"/>
      <c r="D93" s="362"/>
      <c r="E93" s="361">
        <f>'Sources and Uses Budget'!S93</f>
        <v>20000</v>
      </c>
      <c r="F93" s="362"/>
      <c r="G93" s="362"/>
      <c r="H93" s="361">
        <f>'Sources and Uses Budget'!T93</f>
        <v>0</v>
      </c>
      <c r="I93" s="362"/>
      <c r="J93" s="362"/>
      <c r="K93" s="359"/>
    </row>
    <row r="94" spans="1:11" s="360" customFormat="1">
      <c r="A94" s="364" t="str">
        <f>'Sources and Uses Budget'!$A94</f>
        <v>Other: Inspections</v>
      </c>
      <c r="B94" s="361">
        <f>'Sources and Uses Budget'!C94</f>
        <v>26000</v>
      </c>
      <c r="C94" s="362"/>
      <c r="D94" s="362"/>
      <c r="E94" s="361">
        <f>'Sources and Uses Budget'!S94</f>
        <v>26000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661000</v>
      </c>
      <c r="C96" s="361">
        <f>SUM(C83:C95)</f>
        <v>0</v>
      </c>
      <c r="D96" s="361">
        <f>SUM(D83:D95)</f>
        <v>0</v>
      </c>
      <c r="E96" s="361">
        <f>'Sources and Uses Budget'!S96</f>
        <v>536000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67837654</v>
      </c>
      <c r="C97" s="361">
        <f>SUM(C63+C70+C77+C81+C96)</f>
        <v>0</v>
      </c>
      <c r="D97" s="361">
        <f>SUM(D63+D70+D77+D81+D96)</f>
        <v>0</v>
      </c>
      <c r="E97" s="361">
        <f>'Sources and Uses Budget'!S97</f>
        <v>20130040</v>
      </c>
      <c r="F97" s="367">
        <f>SUM(+F63+F70+F81+F96)</f>
        <v>0</v>
      </c>
      <c r="G97" s="367">
        <f>SUM(+G63+G70+G81+G96)</f>
        <v>0</v>
      </c>
      <c r="H97" s="361">
        <f>'Sources and Uses Budget'!T97</f>
        <v>33200000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4679506</v>
      </c>
      <c r="C99" s="362"/>
      <c r="D99" s="362"/>
      <c r="E99" s="361">
        <f>'Sources and Uses Budget'!S99</f>
        <v>3019506</v>
      </c>
      <c r="F99" s="362"/>
      <c r="G99" s="362"/>
      <c r="H99" s="361">
        <f>'Sources and Uses Budget'!T99</f>
        <v>1346338</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4679506</v>
      </c>
      <c r="C104" s="361">
        <f>SUM(C99:C103)</f>
        <v>0</v>
      </c>
      <c r="D104" s="361">
        <f>SUM(D99:D103)</f>
        <v>0</v>
      </c>
      <c r="E104" s="361">
        <f>'Sources and Uses Budget'!S104</f>
        <v>3019506</v>
      </c>
      <c r="F104" s="367">
        <f>SUM(F99:F103)</f>
        <v>0</v>
      </c>
      <c r="G104" s="367">
        <f>SUM(G99:G103)</f>
        <v>0</v>
      </c>
      <c r="H104" s="361">
        <f>'Sources and Uses Budget'!T104</f>
        <v>1346338</v>
      </c>
      <c r="I104" s="367">
        <f>SUM(I99:I103)</f>
        <v>0</v>
      </c>
      <c r="J104" s="367">
        <f>SUM(J99:J103)</f>
        <v>0</v>
      </c>
      <c r="K104" s="359"/>
    </row>
    <row r="105" spans="1:11" s="360" customFormat="1">
      <c r="A105" s="365" t="s">
        <v>1030</v>
      </c>
      <c r="B105" s="361">
        <f>'Sources and Uses Budget'!C105</f>
        <v>72517160</v>
      </c>
      <c r="C105" s="367">
        <f>SUM(C97+C104)</f>
        <v>0</v>
      </c>
      <c r="D105" s="367">
        <f>SUM(D97+D104)</f>
        <v>0</v>
      </c>
      <c r="E105" s="361">
        <f>'Sources and Uses Budget'!S105</f>
        <v>23149546</v>
      </c>
      <c r="F105" s="367">
        <f>F97+F104</f>
        <v>0</v>
      </c>
      <c r="G105" s="367">
        <f>G97+G104</f>
        <v>0</v>
      </c>
      <c r="H105" s="361">
        <f>'Sources and Uses Budget'!T105</f>
        <v>34546338</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23149546</v>
      </c>
      <c r="F107" s="367">
        <f>F105+F106</f>
        <v>0</v>
      </c>
      <c r="G107" s="367">
        <f>G105+G106</f>
        <v>0</v>
      </c>
      <c r="H107" s="361">
        <f>'Sources and Uses Budget'!T107</f>
        <v>34546338</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0"/>
      <c r="E124" s="1849"/>
      <c r="F124" s="1849"/>
      <c r="G124" s="1849"/>
      <c r="H124" s="1849"/>
      <c r="I124" s="1849"/>
      <c r="J124" s="376"/>
      <c r="K124" s="359"/>
    </row>
    <row r="125" spans="1:11" s="360" customFormat="1" ht="12.75">
      <c r="A125" s="385"/>
      <c r="B125" s="384"/>
      <c r="C125" s="385"/>
      <c r="D125" s="1849"/>
      <c r="E125" s="1849"/>
      <c r="F125" s="1849"/>
      <c r="G125" s="1849"/>
      <c r="H125" s="1849"/>
      <c r="I125" s="1849"/>
      <c r="J125" s="376"/>
      <c r="K125" s="359"/>
    </row>
    <row r="126" spans="1:11" s="360" customFormat="1" ht="12.75">
      <c r="A126" s="385"/>
      <c r="B126" s="384"/>
      <c r="C126" s="385"/>
      <c r="D126" s="1849"/>
      <c r="E126" s="1849"/>
      <c r="F126" s="1849"/>
      <c r="G126" s="1849"/>
      <c r="H126" s="1849"/>
      <c r="I126" s="1849"/>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1"/>
      <c r="B139" s="1849"/>
      <c r="C139" s="1849"/>
      <c r="D139" s="356"/>
      <c r="E139" s="385"/>
      <c r="F139" s="385"/>
      <c r="G139" s="385"/>
    </row>
    <row r="140" spans="1:11" ht="12" customHeight="1">
      <c r="A140" s="1822"/>
      <c r="B140" s="1822"/>
      <c r="C140" s="182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21" t="s">
        <v>2388</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2387</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5" t="s">
        <v>2588</v>
      </c>
      <c r="AY3" s="2176"/>
      <c r="AZ3" s="2176"/>
      <c r="BA3" s="2327"/>
      <c r="BB3" s="2175" t="s">
        <v>2589</v>
      </c>
      <c r="BC3" s="2176"/>
      <c r="BD3" s="2176"/>
      <c r="BE3" s="2327"/>
    </row>
    <row r="4" spans="1:65" ht="15.75" customHeight="1" thickBot="1">
      <c r="A4" s="1207"/>
      <c r="B4" s="1209" t="s">
        <v>656</v>
      </c>
      <c r="C4" s="1209"/>
      <c r="D4" s="1209"/>
      <c r="E4" s="1209"/>
      <c r="F4" s="1209"/>
      <c r="G4" s="1208"/>
      <c r="H4" s="1208"/>
      <c r="I4" s="1208"/>
      <c r="J4" s="1208"/>
      <c r="K4" s="1208"/>
      <c r="L4" s="2318" t="str">
        <f>IF(Application!H18="","",Application!H18)</f>
        <v>Seasons by Vintage</v>
      </c>
      <c r="M4" s="2319"/>
      <c r="N4" s="2319"/>
      <c r="O4" s="2319"/>
      <c r="P4" s="2319"/>
      <c r="Q4" s="2319"/>
      <c r="R4" s="2319"/>
      <c r="S4" s="2319"/>
      <c r="T4" s="2319"/>
      <c r="U4" s="2319"/>
      <c r="V4" s="2319"/>
      <c r="W4" s="2319"/>
      <c r="X4" s="2319"/>
      <c r="Y4" s="2319"/>
      <c r="Z4" s="2319"/>
      <c r="AA4" s="2319"/>
      <c r="AB4" s="2319"/>
      <c r="AC4" s="2320"/>
      <c r="AD4" s="1208"/>
      <c r="AE4" s="1208"/>
      <c r="AF4" s="2307" t="s">
        <v>2386</v>
      </c>
      <c r="AG4" s="2307"/>
      <c r="AH4" s="2307"/>
      <c r="AI4" s="2307"/>
      <c r="AJ4" s="2307"/>
      <c r="AK4" s="2307"/>
      <c r="AL4" s="2307"/>
      <c r="AM4" s="2307"/>
      <c r="AN4" s="2307"/>
      <c r="AO4" s="2307"/>
      <c r="AP4" s="2308"/>
      <c r="AQ4" s="2309"/>
      <c r="AR4" s="2309"/>
      <c r="AS4" s="2309"/>
      <c r="AT4" s="2309"/>
      <c r="AU4" s="2309"/>
      <c r="AV4" s="1208"/>
      <c r="AW4" s="1208"/>
      <c r="AX4" s="2315" t="s">
        <v>2590</v>
      </c>
      <c r="AY4" s="2316"/>
      <c r="AZ4" s="2316"/>
      <c r="BA4" s="2317"/>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7" t="s">
        <v>2385</v>
      </c>
      <c r="AG5" s="2307"/>
      <c r="AH5" s="2307"/>
      <c r="AI5" s="2307"/>
      <c r="AJ5" s="2307"/>
      <c r="AK5" s="2307"/>
      <c r="AL5" s="2307"/>
      <c r="AM5" s="2307"/>
      <c r="AN5" s="2307"/>
      <c r="AO5" s="2307"/>
      <c r="AP5" s="2308"/>
      <c r="AQ5" s="2309"/>
      <c r="AR5" s="2309"/>
      <c r="AS5" s="2309"/>
      <c r="AT5" s="2309"/>
      <c r="AU5" s="2309"/>
      <c r="AV5" s="1208"/>
      <c r="AW5" s="1208"/>
      <c r="AX5" s="2315" t="s">
        <v>2591</v>
      </c>
      <c r="AY5" s="2316"/>
      <c r="AZ5" s="2316"/>
      <c r="BA5" s="2317"/>
      <c r="BB5" s="1210">
        <f t="array" ref="BB5">ROUNDDOWN(SUM(IF((B19:I27&gt;0%)*(B19:I27&lt;=50%),J19:O27,0))/J29,2)</f>
        <v>0.2</v>
      </c>
      <c r="BC5" s="1211"/>
      <c r="BD5" s="1211"/>
      <c r="BE5" s="1212"/>
    </row>
    <row r="6" spans="1:65" ht="15.75" customHeight="1" thickBot="1">
      <c r="A6" s="1207"/>
      <c r="B6" s="1209" t="s">
        <v>2384</v>
      </c>
      <c r="C6" s="1208"/>
      <c r="D6" s="1208"/>
      <c r="E6" s="1208"/>
      <c r="F6" s="1208"/>
      <c r="G6" s="1208"/>
      <c r="H6" s="1208"/>
      <c r="I6" s="1208"/>
      <c r="J6" s="1208"/>
      <c r="K6" s="1208"/>
      <c r="L6" s="2318" t="str">
        <f>IF(Application!H16="","",Application!H16)</f>
        <v xml:space="preserve">Vintage Housing Holdings, LLC </v>
      </c>
      <c r="M6" s="2319"/>
      <c r="N6" s="2319"/>
      <c r="O6" s="2319"/>
      <c r="P6" s="2319"/>
      <c r="Q6" s="2319"/>
      <c r="R6" s="2319"/>
      <c r="S6" s="2319"/>
      <c r="T6" s="2319"/>
      <c r="U6" s="2319"/>
      <c r="V6" s="2319"/>
      <c r="W6" s="2319"/>
      <c r="X6" s="2319"/>
      <c r="Y6" s="2319"/>
      <c r="Z6" s="2319"/>
      <c r="AA6" s="2319"/>
      <c r="AB6" s="2319"/>
      <c r="AC6" s="2320"/>
      <c r="AD6" s="1208"/>
      <c r="AE6" s="1208"/>
      <c r="AF6" s="2310" t="s">
        <v>2383</v>
      </c>
      <c r="AG6" s="2310"/>
      <c r="AH6" s="2310"/>
      <c r="AI6" s="2310"/>
      <c r="AJ6" s="2310"/>
      <c r="AK6" s="2310"/>
      <c r="AL6" s="2310"/>
      <c r="AM6" s="2310"/>
      <c r="AN6" s="2310"/>
      <c r="AO6" s="2310"/>
      <c r="AP6" s="2311"/>
      <c r="AQ6" s="2311"/>
      <c r="AR6" s="2311"/>
      <c r="AS6" s="2311"/>
      <c r="AT6" s="2311"/>
      <c r="AU6" s="2311"/>
      <c r="AV6" s="1208"/>
      <c r="AW6" s="1208"/>
      <c r="AX6" s="2315" t="s">
        <v>2592</v>
      </c>
      <c r="AY6" s="2316"/>
      <c r="AZ6" s="2316"/>
      <c r="BA6" s="2317"/>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0" t="s">
        <v>2382</v>
      </c>
      <c r="AG7" s="2310"/>
      <c r="AH7" s="2310"/>
      <c r="AI7" s="2310"/>
      <c r="AJ7" s="2310"/>
      <c r="AK7" s="2310"/>
      <c r="AL7" s="2310"/>
      <c r="AM7" s="2310"/>
      <c r="AN7" s="2310"/>
      <c r="AO7" s="2310"/>
      <c r="AP7" s="2311"/>
      <c r="AQ7" s="2311"/>
      <c r="AR7" s="2311"/>
      <c r="AS7" s="2311"/>
      <c r="AT7" s="2311"/>
      <c r="AU7" s="2311"/>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2" t="str">
        <f>Application!T197</f>
        <v>No</v>
      </c>
      <c r="AC8" s="2313"/>
      <c r="AD8" s="2314"/>
      <c r="AE8" s="1208"/>
      <c r="AF8" s="2310" t="s">
        <v>2381</v>
      </c>
      <c r="AG8" s="2310"/>
      <c r="AH8" s="2310"/>
      <c r="AI8" s="2310"/>
      <c r="AJ8" s="2310"/>
      <c r="AK8" s="2310"/>
      <c r="AL8" s="2310"/>
      <c r="AM8" s="2310"/>
      <c r="AN8" s="2310"/>
      <c r="AO8" s="2310"/>
      <c r="AP8" s="2311" t="s">
        <v>2053</v>
      </c>
      <c r="AQ8" s="2311"/>
      <c r="AR8" s="2311"/>
      <c r="AS8" s="2311"/>
      <c r="AT8" s="2311"/>
      <c r="AU8" s="2311"/>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7" t="s">
        <v>2380</v>
      </c>
      <c r="AG9" s="2307"/>
      <c r="AH9" s="2307"/>
      <c r="AI9" s="2307"/>
      <c r="AJ9" s="2307"/>
      <c r="AK9" s="2307"/>
      <c r="AL9" s="2307"/>
      <c r="AM9" s="2307"/>
      <c r="AN9" s="2307"/>
      <c r="AO9" s="2307"/>
      <c r="AP9" s="2308"/>
      <c r="AQ9" s="2309"/>
      <c r="AR9" s="2309"/>
      <c r="AS9" s="2309"/>
      <c r="AT9" s="2309"/>
      <c r="AU9" s="2309"/>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2306">
        <f>Application!AO635</f>
        <v>27190000</v>
      </c>
      <c r="O10" s="2306"/>
      <c r="P10" s="2306"/>
      <c r="Q10" s="2306"/>
      <c r="R10" s="2306"/>
      <c r="S10" s="2306"/>
      <c r="T10" s="2306"/>
      <c r="U10" s="1208"/>
      <c r="V10" s="1208"/>
      <c r="W10" s="1208"/>
      <c r="X10" s="1214"/>
      <c r="Y10" s="1214"/>
      <c r="Z10" s="1214"/>
      <c r="AA10" s="1214"/>
      <c r="AB10" s="1214"/>
      <c r="AC10" s="1214"/>
      <c r="AD10" s="1214"/>
      <c r="AE10" s="1214"/>
      <c r="AF10" s="2307" t="s">
        <v>2377</v>
      </c>
      <c r="AG10" s="2307"/>
      <c r="AH10" s="2307"/>
      <c r="AI10" s="2307"/>
      <c r="AJ10" s="2307"/>
      <c r="AK10" s="2307"/>
      <c r="AL10" s="2307"/>
      <c r="AM10" s="2307"/>
      <c r="AN10" s="2307"/>
      <c r="AO10" s="2307"/>
      <c r="AP10" s="2308"/>
      <c r="AQ10" s="2309"/>
      <c r="AR10" s="2309"/>
      <c r="AS10" s="2309"/>
      <c r="AT10" s="2309"/>
      <c r="AU10" s="2309"/>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2306">
        <f>Application!AA943</f>
        <v>0</v>
      </c>
      <c r="O11" s="2306"/>
      <c r="P11" s="2306"/>
      <c r="Q11" s="2306"/>
      <c r="R11" s="2306"/>
      <c r="S11" s="2306"/>
      <c r="T11" s="2306"/>
      <c r="U11" s="1208"/>
      <c r="V11" s="1208"/>
      <c r="W11" s="1208"/>
      <c r="X11" s="1214"/>
      <c r="Y11" s="1214"/>
      <c r="Z11" s="1214"/>
      <c r="AA11" s="1214"/>
      <c r="AB11" s="1214"/>
      <c r="AC11" s="1214"/>
      <c r="AD11" s="1214"/>
      <c r="AE11" s="1214"/>
      <c r="AF11" s="2307" t="s">
        <v>2374</v>
      </c>
      <c r="AG11" s="2307"/>
      <c r="AH11" s="2307"/>
      <c r="AI11" s="2307"/>
      <c r="AJ11" s="2307"/>
      <c r="AK11" s="2307"/>
      <c r="AL11" s="2307"/>
      <c r="AM11" s="2307"/>
      <c r="AN11" s="2307"/>
      <c r="AO11" s="2307"/>
      <c r="AP11" s="2308"/>
      <c r="AQ11" s="2309"/>
      <c r="AR11" s="2309"/>
      <c r="AS11" s="2309"/>
      <c r="AT11" s="2309"/>
      <c r="AU11" s="2309"/>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2297" t="s">
        <v>2372</v>
      </c>
      <c r="C13" s="2298"/>
      <c r="D13" s="2298"/>
      <c r="E13" s="2298"/>
      <c r="F13" s="2298"/>
      <c r="G13" s="2298"/>
      <c r="H13" s="2298"/>
      <c r="I13" s="2298"/>
      <c r="J13" s="2298"/>
      <c r="K13" s="2298"/>
      <c r="L13" s="2298"/>
      <c r="M13" s="2298"/>
      <c r="N13" s="2298"/>
      <c r="O13" s="2298"/>
      <c r="P13" s="2299"/>
      <c r="Q13" s="2300" t="s">
        <v>669</v>
      </c>
      <c r="R13" s="2301"/>
      <c r="S13" s="2301"/>
      <c r="T13" s="2302"/>
      <c r="U13" s="1214"/>
      <c r="V13" s="1208"/>
      <c r="W13" s="1208"/>
      <c r="X13" s="1208"/>
      <c r="Y13" s="1208"/>
      <c r="Z13" s="1208"/>
      <c r="AA13" s="2287" t="s">
        <v>2371</v>
      </c>
      <c r="AB13" s="2287"/>
      <c r="AC13" s="2287"/>
      <c r="AD13" s="2287"/>
      <c r="AE13" s="2287"/>
      <c r="AF13" s="2287"/>
      <c r="AG13" s="2287"/>
      <c r="AH13" s="2287"/>
      <c r="AI13" s="2287"/>
      <c r="AJ13" s="2287"/>
      <c r="AK13" s="2287"/>
      <c r="AL13" s="2287"/>
      <c r="AM13" s="2287"/>
      <c r="AN13" s="2287"/>
      <c r="AO13" s="2303">
        <f>Application!W481</f>
        <v>0</v>
      </c>
      <c r="AP13" s="2304"/>
      <c r="AQ13" s="2304"/>
      <c r="AR13" s="2304"/>
      <c r="AS13" s="2304"/>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5" t="s">
        <v>2369</v>
      </c>
      <c r="AB14" s="2305"/>
      <c r="AC14" s="2305"/>
      <c r="AD14" s="2305"/>
      <c r="AE14" s="2305"/>
      <c r="AF14" s="2305"/>
      <c r="AG14" s="2305"/>
      <c r="AH14" s="2305"/>
      <c r="AI14" s="2305"/>
      <c r="AJ14" s="2305"/>
      <c r="AK14" s="2305"/>
      <c r="AL14" s="2305"/>
      <c r="AM14" s="2305"/>
      <c r="AN14" s="2305"/>
      <c r="AO14" s="2288"/>
      <c r="AP14" s="2289"/>
      <c r="AQ14" s="2289"/>
      <c r="AR14" s="2289"/>
      <c r="AS14" s="2289"/>
      <c r="AT14" s="1214"/>
      <c r="AU14" s="1214"/>
      <c r="AV14" s="1214"/>
      <c r="AW14" s="1214"/>
      <c r="AX14" s="1214"/>
      <c r="AY14" s="1214"/>
      <c r="AZ14" s="1214"/>
      <c r="BA14" s="1214"/>
      <c r="BB14" s="1214"/>
      <c r="BC14" s="1214"/>
      <c r="BD14" s="1214"/>
      <c r="BE14" s="1215"/>
    </row>
    <row r="15" spans="1:65" thickBot="1">
      <c r="A15" s="1208"/>
      <c r="B15" s="2282" t="s">
        <v>2368</v>
      </c>
      <c r="C15" s="2283"/>
      <c r="D15" s="2283"/>
      <c r="E15" s="2283"/>
      <c r="F15" s="2283"/>
      <c r="G15" s="2283"/>
      <c r="H15" s="2283"/>
      <c r="I15" s="2283"/>
      <c r="J15" s="2283"/>
      <c r="K15" s="2283"/>
      <c r="L15" s="2283"/>
      <c r="M15" s="2283"/>
      <c r="N15" s="2283"/>
      <c r="O15" s="2283"/>
      <c r="P15" s="2283"/>
      <c r="Q15" s="2283"/>
      <c r="R15" s="2284"/>
      <c r="S15" s="2285" t="str">
        <f>IF(Application!AB215="","",Application!AB215)</f>
        <v/>
      </c>
      <c r="T15" s="2285"/>
      <c r="U15" s="2285"/>
      <c r="V15" s="2285"/>
      <c r="W15" s="2286"/>
      <c r="X15" s="1214"/>
      <c r="Y15" s="1208"/>
      <c r="Z15" s="1208"/>
      <c r="AA15" s="2287" t="s">
        <v>2367</v>
      </c>
      <c r="AB15" s="2287"/>
      <c r="AC15" s="2287"/>
      <c r="AD15" s="2287"/>
      <c r="AE15" s="2287"/>
      <c r="AF15" s="2287"/>
      <c r="AG15" s="2287"/>
      <c r="AH15" s="2287"/>
      <c r="AI15" s="2287"/>
      <c r="AJ15" s="2287"/>
      <c r="AK15" s="2287"/>
      <c r="AL15" s="2287"/>
      <c r="AM15" s="2287"/>
      <c r="AN15" s="2287"/>
      <c r="AO15" s="2288"/>
      <c r="AP15" s="2289"/>
      <c r="AQ15" s="2289"/>
      <c r="AR15" s="2289"/>
      <c r="AS15" s="2289"/>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0" t="s">
        <v>2366</v>
      </c>
      <c r="C17" s="2111"/>
      <c r="D17" s="2111"/>
      <c r="E17" s="2111"/>
      <c r="F17" s="2111"/>
      <c r="G17" s="2111"/>
      <c r="H17" s="2111"/>
      <c r="I17" s="2111"/>
      <c r="J17" s="2111"/>
      <c r="K17" s="2111"/>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c r="AL17" s="2111"/>
      <c r="AM17" s="2111"/>
      <c r="AN17" s="2111"/>
      <c r="AO17" s="2111"/>
      <c r="AP17" s="2111"/>
      <c r="AQ17" s="2111"/>
      <c r="AR17" s="2111"/>
      <c r="AS17" s="2111"/>
      <c r="AT17" s="2111"/>
      <c r="AU17" s="2111"/>
      <c r="AV17" s="2111"/>
      <c r="AW17" s="2111"/>
      <c r="AX17" s="2111"/>
      <c r="AY17" s="2112"/>
      <c r="AZ17" s="1208"/>
      <c r="BA17" s="1208"/>
      <c r="BB17" s="1208"/>
      <c r="BC17" s="1208"/>
      <c r="BD17" s="1208"/>
      <c r="BE17" s="1215"/>
      <c r="BF17" s="1206"/>
    </row>
    <row r="18" spans="1:58" ht="15.75" customHeight="1">
      <c r="A18" s="1208"/>
      <c r="B18" s="2290" t="s">
        <v>2365</v>
      </c>
      <c r="C18" s="2291"/>
      <c r="D18" s="2291"/>
      <c r="E18" s="2291"/>
      <c r="F18" s="2291"/>
      <c r="G18" s="2291"/>
      <c r="H18" s="2291"/>
      <c r="I18" s="2292"/>
      <c r="J18" s="2293" t="s">
        <v>1575</v>
      </c>
      <c r="K18" s="2294"/>
      <c r="L18" s="2294"/>
      <c r="M18" s="2294"/>
      <c r="N18" s="2294"/>
      <c r="O18" s="2295"/>
      <c r="P18" s="2293" t="s">
        <v>324</v>
      </c>
      <c r="Q18" s="2294"/>
      <c r="R18" s="2294"/>
      <c r="S18" s="2294"/>
      <c r="T18" s="2294"/>
      <c r="U18" s="2295"/>
      <c r="V18" s="2293" t="s">
        <v>325</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2364</v>
      </c>
      <c r="AU18" s="2294"/>
      <c r="AV18" s="2294"/>
      <c r="AW18" s="2294"/>
      <c r="AX18" s="2294"/>
      <c r="AY18" s="2296"/>
      <c r="AZ18" s="1208"/>
      <c r="BA18" s="1208"/>
      <c r="BB18" s="1208"/>
      <c r="BC18" s="1208"/>
      <c r="BD18" s="1208"/>
      <c r="BE18" s="1215"/>
    </row>
    <row r="19" spans="1:58" ht="15">
      <c r="A19" s="1208"/>
      <c r="B19" s="2276">
        <v>0.3</v>
      </c>
      <c r="C19" s="2277"/>
      <c r="D19" s="2277"/>
      <c r="E19" s="2277"/>
      <c r="F19" s="2277"/>
      <c r="G19" s="2277"/>
      <c r="H19" s="2277"/>
      <c r="I19" s="2278"/>
      <c r="J19" s="2279">
        <f t="shared" ref="J19:J24" si="0">SUM(P19:AS19)</f>
        <v>23</v>
      </c>
      <c r="K19" s="2280"/>
      <c r="L19" s="2280"/>
      <c r="M19" s="2280"/>
      <c r="N19" s="2280"/>
      <c r="O19" s="2281"/>
      <c r="P19" s="2279" cm="1">
        <f t="array" ref="P19">SUMPRODUCT((Application!$B$726:$B$760 = 'CalHFA Addendum'!P$18)*(Application!$AC$726:$AC$760 = 'CalHFA Addendum'!$B19),Application!$G$726:$G$760)</f>
        <v>0</v>
      </c>
      <c r="Q19" s="2280"/>
      <c r="R19" s="2280"/>
      <c r="S19" s="2280"/>
      <c r="T19" s="2280"/>
      <c r="U19" s="2281"/>
      <c r="V19" s="2279" cm="1">
        <f t="array" ref="V19">SUMPRODUCT((Application!$B$726:$B$760 = 'CalHFA Addendum'!V$18)*(Application!$AC$726:$AC$760 = 'CalHFA Addendum'!$B19),Application!$G$726:$G$760)</f>
        <v>15</v>
      </c>
      <c r="W19" s="2280"/>
      <c r="X19" s="2280"/>
      <c r="Y19" s="2280"/>
      <c r="Z19" s="2280"/>
      <c r="AA19" s="2281"/>
      <c r="AB19" s="2279" cm="1">
        <f t="array" ref="AB19">SUMPRODUCT((Application!$B$726:$B$760 = 'CalHFA Addendum'!AB$18)*(Application!$AC$726:$AC$760 = 'CalHFA Addendum'!$B19),Application!$G$726:$G$760)</f>
        <v>8</v>
      </c>
      <c r="AC19" s="2280"/>
      <c r="AD19" s="2280"/>
      <c r="AE19" s="2280"/>
      <c r="AF19" s="2280"/>
      <c r="AG19" s="2281"/>
      <c r="AH19" s="2279" cm="1">
        <f t="array" ref="AH19">SUMPRODUCT((Application!$B$726:$B$760 = 'CalHFA Addendum'!AH$18)*(Application!$AC$726:$AC$760 = 'CalHFA Addendum'!$B19),Application!$G$726:$G$760)</f>
        <v>0</v>
      </c>
      <c r="AI19" s="2280"/>
      <c r="AJ19" s="2280"/>
      <c r="AK19" s="2280"/>
      <c r="AL19" s="2280"/>
      <c r="AM19" s="2281"/>
      <c r="AN19" s="2279" cm="1">
        <f t="array" ref="AN19">SUMPRODUCT((Application!$B$726:$B$760 = 'CalHFA Addendum'!AN$18)*(Application!$AC$726:$AC$760 = 'CalHFA Addendum'!$B19),Application!$G$726:$G$760)</f>
        <v>0</v>
      </c>
      <c r="AO19" s="2280"/>
      <c r="AP19" s="2280"/>
      <c r="AQ19" s="2280"/>
      <c r="AR19" s="2280"/>
      <c r="AS19" s="2281"/>
      <c r="AT19" s="2264">
        <f>J19/$J$29</f>
        <v>0.1036036036036036</v>
      </c>
      <c r="AU19" s="2265"/>
      <c r="AV19" s="2265"/>
      <c r="AW19" s="2265"/>
      <c r="AX19" s="2265"/>
      <c r="AY19" s="2266"/>
      <c r="AZ19" s="1216"/>
      <c r="BA19" s="1208"/>
      <c r="BB19" s="1208"/>
      <c r="BC19" s="1208"/>
      <c r="BD19" s="1208"/>
      <c r="BE19" s="1215"/>
    </row>
    <row r="20" spans="1:58" ht="15" customHeight="1">
      <c r="A20" s="1208"/>
      <c r="B20" s="2276">
        <v>0.4</v>
      </c>
      <c r="C20" s="2277"/>
      <c r="D20" s="2277"/>
      <c r="E20" s="2277"/>
      <c r="F20" s="2277"/>
      <c r="G20" s="2277"/>
      <c r="H20" s="2277"/>
      <c r="I20" s="2278"/>
      <c r="J20" s="2279">
        <f t="shared" si="0"/>
        <v>0</v>
      </c>
      <c r="K20" s="2280"/>
      <c r="L20" s="2280"/>
      <c r="M20" s="2280"/>
      <c r="N20" s="2280"/>
      <c r="O20" s="2281"/>
      <c r="P20" s="2279" cm="1">
        <f t="array" ref="P20">SUMPRODUCT((Application!$B$726:$B$760 = 'CalHFA Addendum'!P$18)*(Application!$AC$726:$AC$760 = 'CalHFA Addendum'!$B20),Application!$G$726:$G$760)</f>
        <v>0</v>
      </c>
      <c r="Q20" s="2280"/>
      <c r="R20" s="2280"/>
      <c r="S20" s="2280"/>
      <c r="T20" s="2280"/>
      <c r="U20" s="2281"/>
      <c r="V20" s="2279" cm="1">
        <f t="array" ref="V20">SUMPRODUCT((Application!$B$726:$B$760 = 'CalHFA Addendum'!V$18)*(Application!$AC$726:$AC$760 = 'CalHFA Addendum'!$B20),Application!$G$726:$G$760)</f>
        <v>0</v>
      </c>
      <c r="W20" s="2280"/>
      <c r="X20" s="2280"/>
      <c r="Y20" s="2280"/>
      <c r="Z20" s="2280"/>
      <c r="AA20" s="2281"/>
      <c r="AB20" s="2279" cm="1">
        <f t="array" ref="AB20">SUMPRODUCT((Application!$B$726:$B$760 = 'CalHFA Addendum'!AB$18)*(Application!$AC$726:$AC$760 = 'CalHFA Addendum'!$B20),Application!$G$726:$G$760)</f>
        <v>0</v>
      </c>
      <c r="AC20" s="2280"/>
      <c r="AD20" s="2280"/>
      <c r="AE20" s="2280"/>
      <c r="AF20" s="2280"/>
      <c r="AG20" s="2281"/>
      <c r="AH20" s="2279" cm="1">
        <f t="array" ref="AH20">SUMPRODUCT((Application!$B$726:$B$760 = 'CalHFA Addendum'!AH$18)*(Application!$AC$726:$AC$760 = 'CalHFA Addendum'!$B20),Application!$G$726:$G$760)</f>
        <v>0</v>
      </c>
      <c r="AI20" s="2280"/>
      <c r="AJ20" s="2280"/>
      <c r="AK20" s="2280"/>
      <c r="AL20" s="2280"/>
      <c r="AM20" s="2281"/>
      <c r="AN20" s="2279" cm="1">
        <f t="array" ref="AN20">SUMPRODUCT((Application!$B$726:$B$760 = 'CalHFA Addendum'!AN$18)*(Application!$AC$726:$AC$760 = 'CalHFA Addendum'!$B20),Application!$G$726:$G$760)</f>
        <v>0</v>
      </c>
      <c r="AO20" s="2280"/>
      <c r="AP20" s="2280"/>
      <c r="AQ20" s="2280"/>
      <c r="AR20" s="2280"/>
      <c r="AS20" s="2281"/>
      <c r="AT20" s="2264">
        <f t="shared" ref="AT20:AT29" si="1">J20/$J$29</f>
        <v>0</v>
      </c>
      <c r="AU20" s="2265"/>
      <c r="AV20" s="2265"/>
      <c r="AW20" s="2265"/>
      <c r="AX20" s="2265"/>
      <c r="AY20" s="2266"/>
      <c r="AZ20" s="1208"/>
      <c r="BA20" s="1208"/>
      <c r="BB20" s="1208"/>
      <c r="BC20" s="1208"/>
      <c r="BD20" s="1208"/>
      <c r="BE20" s="1215"/>
    </row>
    <row r="21" spans="1:58" ht="15">
      <c r="A21" s="1208"/>
      <c r="B21" s="2276">
        <v>0.5</v>
      </c>
      <c r="C21" s="2277"/>
      <c r="D21" s="2277"/>
      <c r="E21" s="2277"/>
      <c r="F21" s="2277"/>
      <c r="G21" s="2277"/>
      <c r="H21" s="2277"/>
      <c r="I21" s="2278"/>
      <c r="J21" s="2279">
        <f t="shared" si="0"/>
        <v>22</v>
      </c>
      <c r="K21" s="2280"/>
      <c r="L21" s="2280"/>
      <c r="M21" s="2280"/>
      <c r="N21" s="2280"/>
      <c r="O21" s="2281"/>
      <c r="P21" s="2279" cm="1">
        <f t="array" ref="P21">SUMPRODUCT((Application!$B$726:$B$760 = 'CalHFA Addendum'!P$18)*(Application!$AC$726:$AC$760 = 'CalHFA Addendum'!$B21),Application!$G$726:$G$760)</f>
        <v>0</v>
      </c>
      <c r="Q21" s="2280"/>
      <c r="R21" s="2280"/>
      <c r="S21" s="2280"/>
      <c r="T21" s="2280"/>
      <c r="U21" s="2281"/>
      <c r="V21" s="2279" cm="1">
        <f t="array" ref="V21">SUMPRODUCT((Application!$B$726:$B$760 = 'CalHFA Addendum'!V$18)*(Application!$AC$726:$AC$760 = 'CalHFA Addendum'!$B21),Application!$G$726:$G$760)</f>
        <v>5</v>
      </c>
      <c r="W21" s="2280"/>
      <c r="X21" s="2280"/>
      <c r="Y21" s="2280"/>
      <c r="Z21" s="2280"/>
      <c r="AA21" s="2281"/>
      <c r="AB21" s="2279" cm="1">
        <f t="array" ref="AB21">SUMPRODUCT((Application!$B$726:$B$760 = 'CalHFA Addendum'!AB$18)*(Application!$AC$726:$AC$760 = 'CalHFA Addendum'!$B21),Application!$G$726:$G$760)</f>
        <v>17</v>
      </c>
      <c r="AC21" s="2280"/>
      <c r="AD21" s="2280"/>
      <c r="AE21" s="2280"/>
      <c r="AF21" s="2280"/>
      <c r="AG21" s="2281"/>
      <c r="AH21" s="2279" cm="1">
        <f t="array" ref="AH21">SUMPRODUCT((Application!$B$726:$B$760 = 'CalHFA Addendum'!AH$18)*(Application!$AC$726:$AC$760 = 'CalHFA Addendum'!$B21),Application!$G$726:$G$760)</f>
        <v>0</v>
      </c>
      <c r="AI21" s="2280"/>
      <c r="AJ21" s="2280"/>
      <c r="AK21" s="2280"/>
      <c r="AL21" s="2280"/>
      <c r="AM21" s="2281"/>
      <c r="AN21" s="2279" cm="1">
        <f t="array" ref="AN21">SUMPRODUCT((Application!$B$726:$B$760 = 'CalHFA Addendum'!AN$18)*(Application!$AC$726:$AC$760 = 'CalHFA Addendum'!$B21),Application!$G$726:$G$760)</f>
        <v>0</v>
      </c>
      <c r="AO21" s="2280"/>
      <c r="AP21" s="2280"/>
      <c r="AQ21" s="2280"/>
      <c r="AR21" s="2280"/>
      <c r="AS21" s="2281"/>
      <c r="AT21" s="2264">
        <f t="shared" si="1"/>
        <v>9.90990990990991E-2</v>
      </c>
      <c r="AU21" s="2265"/>
      <c r="AV21" s="2265"/>
      <c r="AW21" s="2265"/>
      <c r="AX21" s="2265"/>
      <c r="AY21" s="2266"/>
      <c r="AZ21" s="1208"/>
      <c r="BA21" s="1208"/>
      <c r="BB21" s="1208"/>
      <c r="BC21" s="1208"/>
      <c r="BD21" s="1208"/>
      <c r="BE21" s="1215"/>
    </row>
    <row r="22" spans="1:58" ht="15">
      <c r="A22" s="1208"/>
      <c r="B22" s="2276">
        <v>0.6</v>
      </c>
      <c r="C22" s="2277"/>
      <c r="D22" s="2277"/>
      <c r="E22" s="2277"/>
      <c r="F22" s="2277"/>
      <c r="G22" s="2277"/>
      <c r="H22" s="2277"/>
      <c r="I22" s="2278"/>
      <c r="J22" s="2279">
        <f t="shared" si="0"/>
        <v>175</v>
      </c>
      <c r="K22" s="2280"/>
      <c r="L22" s="2280"/>
      <c r="M22" s="2280"/>
      <c r="N22" s="2280"/>
      <c r="O22" s="2281"/>
      <c r="P22" s="2279" cm="1">
        <f t="array" ref="P22">SUMPRODUCT((Application!$B$726:$B$760 = 'CalHFA Addendum'!P$18)*(Application!$AC$726:$AC$760 = 'CalHFA Addendum'!$B22),Application!$G$726:$G$760)</f>
        <v>0</v>
      </c>
      <c r="Q22" s="2280"/>
      <c r="R22" s="2280"/>
      <c r="S22" s="2280"/>
      <c r="T22" s="2280"/>
      <c r="U22" s="2281"/>
      <c r="V22" s="2279" cm="1">
        <f t="array" ref="V22">SUMPRODUCT((Application!$B$726:$B$760 = 'CalHFA Addendum'!V$18)*(Application!$AC$726:$AC$760 = 'CalHFA Addendum'!$B22),Application!$G$726:$G$760)</f>
        <v>124</v>
      </c>
      <c r="W22" s="2280"/>
      <c r="X22" s="2280"/>
      <c r="Y22" s="2280"/>
      <c r="Z22" s="2280"/>
      <c r="AA22" s="2281"/>
      <c r="AB22" s="2279" cm="1">
        <f t="array" ref="AB22">SUMPRODUCT((Application!$B$726:$B$760 = 'CalHFA Addendum'!AB$18)*(Application!$AC$726:$AC$760 = 'CalHFA Addendum'!$B22),Application!$G$726:$G$760)</f>
        <v>51</v>
      </c>
      <c r="AC22" s="2280"/>
      <c r="AD22" s="2280"/>
      <c r="AE22" s="2280"/>
      <c r="AF22" s="2280"/>
      <c r="AG22" s="2281"/>
      <c r="AH22" s="2279" cm="1">
        <f t="array" ref="AH22">SUMPRODUCT((Application!$B$726:$B$760 = 'CalHFA Addendum'!AH$18)*(Application!$AC$726:$AC$760 = 'CalHFA Addendum'!$B22),Application!$G$726:$G$760)</f>
        <v>0</v>
      </c>
      <c r="AI22" s="2280"/>
      <c r="AJ22" s="2280"/>
      <c r="AK22" s="2280"/>
      <c r="AL22" s="2280"/>
      <c r="AM22" s="2281"/>
      <c r="AN22" s="2279" cm="1">
        <f t="array" ref="AN22">SUMPRODUCT((Application!$B$726:$B$760 = 'CalHFA Addendum'!AN$18)*(Application!$AC$726:$AC$760 = 'CalHFA Addendum'!$B22),Application!$G$726:$G$760)</f>
        <v>0</v>
      </c>
      <c r="AO22" s="2280"/>
      <c r="AP22" s="2280"/>
      <c r="AQ22" s="2280"/>
      <c r="AR22" s="2280"/>
      <c r="AS22" s="2281"/>
      <c r="AT22" s="2264">
        <f t="shared" si="1"/>
        <v>0.78828828828828834</v>
      </c>
      <c r="AU22" s="2265"/>
      <c r="AV22" s="2265"/>
      <c r="AW22" s="2265"/>
      <c r="AX22" s="2265"/>
      <c r="AY22" s="2266"/>
      <c r="AZ22" s="1208"/>
      <c r="BA22" s="1208"/>
      <c r="BB22" s="1208"/>
      <c r="BC22" s="1208"/>
      <c r="BD22" s="1208"/>
      <c r="BE22" s="1215"/>
    </row>
    <row r="23" spans="1:58" ht="15">
      <c r="A23" s="1208"/>
      <c r="B23" s="2276">
        <v>0.7</v>
      </c>
      <c r="C23" s="2277"/>
      <c r="D23" s="2277"/>
      <c r="E23" s="2277"/>
      <c r="F23" s="2277"/>
      <c r="G23" s="2277"/>
      <c r="H23" s="2277"/>
      <c r="I23" s="2278"/>
      <c r="J23" s="2279">
        <f t="shared" si="0"/>
        <v>0</v>
      </c>
      <c r="K23" s="2280"/>
      <c r="L23" s="2280"/>
      <c r="M23" s="2280"/>
      <c r="N23" s="2280"/>
      <c r="O23" s="2281"/>
      <c r="P23" s="2279" cm="1">
        <f t="array" ref="P23">SUMPRODUCT((Application!$B$726:$B$760 = 'CalHFA Addendum'!P$18)*(Application!$AC$726:$AC$760 = 'CalHFA Addendum'!$B23),Application!$G$726:$G$760)</f>
        <v>0</v>
      </c>
      <c r="Q23" s="2280"/>
      <c r="R23" s="2280"/>
      <c r="S23" s="2280"/>
      <c r="T23" s="2280"/>
      <c r="U23" s="2281"/>
      <c r="V23" s="2279" cm="1">
        <f t="array" ref="V23">SUMPRODUCT((Application!$B$726:$B$760 = 'CalHFA Addendum'!V$18)*(Application!$AC$726:$AC$760 = 'CalHFA Addendum'!$B23),Application!$G$726:$G$760)</f>
        <v>0</v>
      </c>
      <c r="W23" s="2280"/>
      <c r="X23" s="2280"/>
      <c r="Y23" s="2280"/>
      <c r="Z23" s="2280"/>
      <c r="AA23" s="2281"/>
      <c r="AB23" s="2279" cm="1">
        <f t="array" ref="AB23">SUMPRODUCT((Application!$B$726:$B$760 = 'CalHFA Addendum'!AB$18)*(Application!$AC$726:$AC$760 = 'CalHFA Addendum'!$B23),Application!$G$726:$G$760)</f>
        <v>0</v>
      </c>
      <c r="AC23" s="2280"/>
      <c r="AD23" s="2280"/>
      <c r="AE23" s="2280"/>
      <c r="AF23" s="2280"/>
      <c r="AG23" s="2281"/>
      <c r="AH23" s="2279" cm="1">
        <f t="array" ref="AH23">SUMPRODUCT((Application!$B$726:$B$760 = 'CalHFA Addendum'!AH$18)*(Application!$AC$726:$AC$760 = 'CalHFA Addendum'!$B23),Application!$G$726:$G$760)</f>
        <v>0</v>
      </c>
      <c r="AI23" s="2280"/>
      <c r="AJ23" s="2280"/>
      <c r="AK23" s="2280"/>
      <c r="AL23" s="2280"/>
      <c r="AM23" s="2281"/>
      <c r="AN23" s="2279" cm="1">
        <f t="array" ref="AN23">SUMPRODUCT((Application!$B$726:$B$760 = 'CalHFA Addendum'!AN$18)*(Application!$AC$726:$AC$760 = 'CalHFA Addendum'!$B23),Application!$G$726:$G$760)</f>
        <v>0</v>
      </c>
      <c r="AO23" s="2280"/>
      <c r="AP23" s="2280"/>
      <c r="AQ23" s="2280"/>
      <c r="AR23" s="2280"/>
      <c r="AS23" s="2281"/>
      <c r="AT23" s="2264">
        <f t="shared" si="1"/>
        <v>0</v>
      </c>
      <c r="AU23" s="2265"/>
      <c r="AV23" s="2265"/>
      <c r="AW23" s="2265"/>
      <c r="AX23" s="2265"/>
      <c r="AY23" s="2266"/>
      <c r="AZ23" s="1208"/>
      <c r="BA23" s="1208"/>
      <c r="BB23" s="1208"/>
      <c r="BC23" s="1208"/>
      <c r="BD23" s="1208"/>
      <c r="BE23" s="1215"/>
    </row>
    <row r="24" spans="1:58" ht="15">
      <c r="A24" s="1208"/>
      <c r="B24" s="2276">
        <v>0.8</v>
      </c>
      <c r="C24" s="2277"/>
      <c r="D24" s="2277"/>
      <c r="E24" s="2277"/>
      <c r="F24" s="2277"/>
      <c r="G24" s="2277"/>
      <c r="H24" s="2277"/>
      <c r="I24" s="2278"/>
      <c r="J24" s="2279">
        <f t="shared" si="0"/>
        <v>0</v>
      </c>
      <c r="K24" s="2280"/>
      <c r="L24" s="2280"/>
      <c r="M24" s="2280"/>
      <c r="N24" s="2280"/>
      <c r="O24" s="2281"/>
      <c r="P24" s="2279" cm="1">
        <f t="array" ref="P24">SUMPRODUCT((Application!$B$726:$B$760 = 'CalHFA Addendum'!P$18)*(Application!$AC$726:$AC$760 = 'CalHFA Addendum'!$B24),Application!$G$726:$G$760)</f>
        <v>0</v>
      </c>
      <c r="Q24" s="2280"/>
      <c r="R24" s="2280"/>
      <c r="S24" s="2280"/>
      <c r="T24" s="2280"/>
      <c r="U24" s="2281"/>
      <c r="V24" s="2279" cm="1">
        <f t="array" ref="V24">SUMPRODUCT((Application!$B$726:$B$760 = 'CalHFA Addendum'!V$18)*(Application!$AC$726:$AC$760 = 'CalHFA Addendum'!$B24),Application!$G$726:$G$760)</f>
        <v>0</v>
      </c>
      <c r="W24" s="2280"/>
      <c r="X24" s="2280"/>
      <c r="Y24" s="2280"/>
      <c r="Z24" s="2280"/>
      <c r="AA24" s="2281"/>
      <c r="AB24" s="2279" cm="1">
        <f t="array" ref="AB24">SUMPRODUCT((Application!$B$726:$B$760 = 'CalHFA Addendum'!AB$18)*(Application!$AC$726:$AC$760 = 'CalHFA Addendum'!$B24),Application!$G$726:$G$760)</f>
        <v>0</v>
      </c>
      <c r="AC24" s="2280"/>
      <c r="AD24" s="2280"/>
      <c r="AE24" s="2280"/>
      <c r="AF24" s="2280"/>
      <c r="AG24" s="2281"/>
      <c r="AH24" s="2279" cm="1">
        <f t="array" ref="AH24">SUMPRODUCT((Application!$B$726:$B$760 = 'CalHFA Addendum'!AH$18)*(Application!$AC$726:$AC$760 = 'CalHFA Addendum'!$B24),Application!$G$726:$G$760)</f>
        <v>0</v>
      </c>
      <c r="AI24" s="2280"/>
      <c r="AJ24" s="2280"/>
      <c r="AK24" s="2280"/>
      <c r="AL24" s="2280"/>
      <c r="AM24" s="2281"/>
      <c r="AN24" s="2279" cm="1">
        <f t="array" ref="AN24">SUMPRODUCT((Application!$B$726:$B$760 = 'CalHFA Addendum'!AN$18)*(Application!$AC$726:$AC$760 = 'CalHFA Addendum'!$B24),Application!$G$726:$G$760)</f>
        <v>0</v>
      </c>
      <c r="AO24" s="2280"/>
      <c r="AP24" s="2280"/>
      <c r="AQ24" s="2280"/>
      <c r="AR24" s="2280"/>
      <c r="AS24" s="2281"/>
      <c r="AT24" s="2264">
        <f t="shared" si="1"/>
        <v>0</v>
      </c>
      <c r="AU24" s="2265"/>
      <c r="AV24" s="2265"/>
      <c r="AW24" s="2265"/>
      <c r="AX24" s="2265"/>
      <c r="AY24" s="2266"/>
      <c r="AZ24" s="1208"/>
      <c r="BA24" s="1208"/>
      <c r="BB24" s="1208"/>
      <c r="BC24" s="1208"/>
      <c r="BD24" s="1208"/>
      <c r="BE24" s="1215"/>
    </row>
    <row r="25" spans="1:58" ht="15">
      <c r="A25" s="1208"/>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f t="shared" si="1"/>
        <v>0</v>
      </c>
      <c r="AU25" s="2265"/>
      <c r="AV25" s="2265"/>
      <c r="AW25" s="2265"/>
      <c r="AX25" s="2265"/>
      <c r="AY25" s="2266"/>
      <c r="AZ25" s="1208"/>
      <c r="BA25" s="1208"/>
      <c r="BB25" s="1208"/>
      <c r="BC25" s="1208"/>
      <c r="BD25" s="1208"/>
      <c r="BE25" s="1215"/>
    </row>
    <row r="26" spans="1:58" ht="15">
      <c r="A26" s="1208"/>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f t="shared" si="1"/>
        <v>0</v>
      </c>
      <c r="AU26" s="2265"/>
      <c r="AV26" s="2265"/>
      <c r="AW26" s="2265"/>
      <c r="AX26" s="2265"/>
      <c r="AY26" s="2266"/>
      <c r="AZ26" s="1208"/>
      <c r="BA26" s="1208"/>
      <c r="BB26" s="1208"/>
      <c r="BC26" s="1208"/>
      <c r="BD26" s="1208"/>
      <c r="BE26" s="1215"/>
    </row>
    <row r="27" spans="1:58" ht="15">
      <c r="A27" s="1208"/>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f t="shared" si="1"/>
        <v>0</v>
      </c>
      <c r="AU27" s="2265"/>
      <c r="AV27" s="2265"/>
      <c r="AW27" s="2265"/>
      <c r="AX27" s="2265"/>
      <c r="AY27" s="2266"/>
      <c r="AZ27" s="1208"/>
      <c r="BA27" s="1208"/>
      <c r="BB27" s="1208"/>
      <c r="BC27" s="1208"/>
      <c r="BD27" s="1208"/>
      <c r="BE27" s="1215"/>
    </row>
    <row r="28" spans="1:58" thickBot="1">
      <c r="A28" s="1208"/>
      <c r="B28" s="2267" t="s">
        <v>2363</v>
      </c>
      <c r="C28" s="2268"/>
      <c r="D28" s="2268"/>
      <c r="E28" s="2268"/>
      <c r="F28" s="2268"/>
      <c r="G28" s="2268"/>
      <c r="H28" s="2268"/>
      <c r="I28" s="2269"/>
      <c r="J28" s="2270">
        <f>SUM(P28:AS28)</f>
        <v>2</v>
      </c>
      <c r="K28" s="2271"/>
      <c r="L28" s="2271"/>
      <c r="M28" s="2271"/>
      <c r="N28" s="2271"/>
      <c r="O28" s="2272"/>
      <c r="P28" s="2270">
        <f>_xlfn.IFNA(VLOOKUP(P$18,Application!$J$781:$S$784,6,FALSE), 0)</f>
        <v>0</v>
      </c>
      <c r="Q28" s="2271"/>
      <c r="R28" s="2271"/>
      <c r="S28" s="2271"/>
      <c r="T28" s="2271"/>
      <c r="U28" s="2272"/>
      <c r="V28" s="2270">
        <f>_xlfn.IFNA(VLOOKUP(V$18,Application!$J$781:$S$784,6,FALSE), 0)</f>
        <v>0</v>
      </c>
      <c r="W28" s="2271"/>
      <c r="X28" s="2271"/>
      <c r="Y28" s="2271"/>
      <c r="Z28" s="2271"/>
      <c r="AA28" s="2272"/>
      <c r="AB28" s="2270">
        <f>_xlfn.IFNA(VLOOKUP(AB$18,Application!$J$781:$S$784,6,FALSE), 0)</f>
        <v>2</v>
      </c>
      <c r="AC28" s="2271"/>
      <c r="AD28" s="2271"/>
      <c r="AE28" s="2271"/>
      <c r="AF28" s="2271"/>
      <c r="AG28" s="2272"/>
      <c r="AH28" s="2270">
        <f>_xlfn.IFNA(VLOOKUP(AH$18,Application!$J$781:$S$784,6,FALSE), 0)</f>
        <v>0</v>
      </c>
      <c r="AI28" s="2271"/>
      <c r="AJ28" s="2271"/>
      <c r="AK28" s="2271"/>
      <c r="AL28" s="2271"/>
      <c r="AM28" s="2272"/>
      <c r="AN28" s="2270">
        <f>_xlfn.IFNA(VLOOKUP(AN$18,Application!$J$781:$S$784,6,FALSE), 0)</f>
        <v>0</v>
      </c>
      <c r="AO28" s="2271"/>
      <c r="AP28" s="2271"/>
      <c r="AQ28" s="2271"/>
      <c r="AR28" s="2271"/>
      <c r="AS28" s="2272"/>
      <c r="AT28" s="2273">
        <f t="shared" si="1"/>
        <v>9.0090090090090089E-3</v>
      </c>
      <c r="AU28" s="2274"/>
      <c r="AV28" s="2274"/>
      <c r="AW28" s="2274"/>
      <c r="AX28" s="2274"/>
      <c r="AY28" s="2275"/>
      <c r="AZ28" s="1208"/>
      <c r="BA28" s="1208"/>
      <c r="BB28" s="1208"/>
      <c r="BC28" s="1208"/>
      <c r="BD28" s="1208"/>
      <c r="BE28" s="1215"/>
    </row>
    <row r="29" spans="1:58" thickBot="1">
      <c r="A29" s="1208"/>
      <c r="B29" s="2250" t="s">
        <v>1575</v>
      </c>
      <c r="C29" s="2223"/>
      <c r="D29" s="2223"/>
      <c r="E29" s="2223"/>
      <c r="F29" s="2223"/>
      <c r="G29" s="2223"/>
      <c r="H29" s="2223"/>
      <c r="I29" s="2224"/>
      <c r="J29" s="2222">
        <f>SUM(J19:O28)</f>
        <v>222</v>
      </c>
      <c r="K29" s="2223"/>
      <c r="L29" s="2223"/>
      <c r="M29" s="2223"/>
      <c r="N29" s="2223"/>
      <c r="O29" s="2224"/>
      <c r="P29" s="2222">
        <f>SUM(P19:U28)</f>
        <v>0</v>
      </c>
      <c r="Q29" s="2223"/>
      <c r="R29" s="2223"/>
      <c r="S29" s="2223"/>
      <c r="T29" s="2223"/>
      <c r="U29" s="2224"/>
      <c r="V29" s="2222">
        <f>SUM(V19:AA28)</f>
        <v>144</v>
      </c>
      <c r="W29" s="2223"/>
      <c r="X29" s="2223"/>
      <c r="Y29" s="2223"/>
      <c r="Z29" s="2223"/>
      <c r="AA29" s="2224"/>
      <c r="AB29" s="2222">
        <f>SUM(AB19:AG28)</f>
        <v>78</v>
      </c>
      <c r="AC29" s="2223"/>
      <c r="AD29" s="2223"/>
      <c r="AE29" s="2223"/>
      <c r="AF29" s="2223"/>
      <c r="AG29" s="2224"/>
      <c r="AH29" s="2222">
        <f>SUM(AH19:AM28)</f>
        <v>0</v>
      </c>
      <c r="AI29" s="2223"/>
      <c r="AJ29" s="2223"/>
      <c r="AK29" s="2223"/>
      <c r="AL29" s="2223"/>
      <c r="AM29" s="2224"/>
      <c r="AN29" s="2222">
        <f>SUM(AN19:AS28)</f>
        <v>0</v>
      </c>
      <c r="AO29" s="2223"/>
      <c r="AP29" s="2223"/>
      <c r="AQ29" s="2223"/>
      <c r="AR29" s="2223"/>
      <c r="AS29" s="2224"/>
      <c r="AT29" s="2225">
        <f t="shared" si="1"/>
        <v>1</v>
      </c>
      <c r="AU29" s="2226"/>
      <c r="AV29" s="2226"/>
      <c r="AW29" s="2226"/>
      <c r="AX29" s="2226"/>
      <c r="AY29" s="2227"/>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8" t="s">
        <v>2362</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215"/>
    </row>
    <row r="32" spans="1:58" thickBot="1">
      <c r="A32" s="1208"/>
      <c r="B32" s="2231" t="s">
        <v>2361</v>
      </c>
      <c r="C32" s="2232"/>
      <c r="D32" s="2232"/>
      <c r="E32" s="2232"/>
      <c r="F32" s="2232"/>
      <c r="G32" s="2232"/>
      <c r="H32" s="2232"/>
      <c r="I32" s="2232"/>
      <c r="J32" s="2235" t="s">
        <v>2360</v>
      </c>
      <c r="K32" s="2236"/>
      <c r="L32" s="2236"/>
      <c r="M32" s="2236"/>
      <c r="N32" s="2235" t="s">
        <v>2359</v>
      </c>
      <c r="O32" s="2236"/>
      <c r="P32" s="2236"/>
      <c r="Q32" s="2238"/>
      <c r="R32" s="2240" t="s">
        <v>2358</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215"/>
    </row>
    <row r="33" spans="1:58" ht="15" customHeight="1">
      <c r="A33" s="1208"/>
      <c r="B33" s="2233"/>
      <c r="C33" s="2234"/>
      <c r="D33" s="2234"/>
      <c r="E33" s="2234"/>
      <c r="F33" s="2234"/>
      <c r="G33" s="2234"/>
      <c r="H33" s="2234"/>
      <c r="I33" s="2234"/>
      <c r="J33" s="2237"/>
      <c r="K33" s="2237"/>
      <c r="L33" s="2237"/>
      <c r="M33" s="2237"/>
      <c r="N33" s="2237"/>
      <c r="O33" s="2237"/>
      <c r="P33" s="2237"/>
      <c r="Q33" s="2239"/>
      <c r="R33" s="2243" t="s">
        <v>2357</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215"/>
    </row>
    <row r="34" spans="1:58" ht="15.75" customHeight="1" thickBot="1">
      <c r="A34" s="1208"/>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215"/>
    </row>
    <row r="35" spans="1:58" ht="15.75" customHeight="1">
      <c r="A35" s="1208"/>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2356</v>
      </c>
      <c r="AT35" s="2252"/>
      <c r="AU35" s="2252"/>
      <c r="AV35" s="2252"/>
      <c r="AW35" s="2252"/>
      <c r="AX35" s="2260"/>
      <c r="AY35" s="2251" t="s">
        <v>2355</v>
      </c>
      <c r="AZ35" s="2252"/>
      <c r="BA35" s="2252"/>
      <c r="BB35" s="2252"/>
      <c r="BC35" s="2252"/>
      <c r="BD35" s="2253"/>
      <c r="BE35" s="1215"/>
    </row>
    <row r="36" spans="1:58" ht="15.75" customHeight="1">
      <c r="A36" s="1208"/>
      <c r="B36" s="2155" t="s">
        <v>2354</v>
      </c>
      <c r="C36" s="2156"/>
      <c r="D36" s="2156"/>
      <c r="E36" s="2156"/>
      <c r="F36" s="2156"/>
      <c r="G36" s="2156"/>
      <c r="H36" s="2156"/>
      <c r="I36" s="2156"/>
      <c r="J36" s="2220" t="s">
        <v>2353</v>
      </c>
      <c r="K36" s="2220"/>
      <c r="L36" s="2220"/>
      <c r="M36" s="2220"/>
      <c r="N36" s="2220">
        <v>55</v>
      </c>
      <c r="O36" s="2220"/>
      <c r="P36" s="2220"/>
      <c r="Q36" s="2220"/>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05"/>
      <c r="AM36" s="2206"/>
      <c r="AN36" s="2206"/>
      <c r="AO36" s="2207"/>
      <c r="AP36" s="2205"/>
      <c r="AQ36" s="2206"/>
      <c r="AR36" s="2207"/>
      <c r="AS36" s="2208">
        <f t="shared" ref="AS36:AS47" si="2">SUM(R36:AR36)</f>
        <v>0</v>
      </c>
      <c r="AT36" s="2209"/>
      <c r="AU36" s="2209"/>
      <c r="AV36" s="2209"/>
      <c r="AW36" s="2209"/>
      <c r="AX36" s="2210"/>
      <c r="AY36" s="2211">
        <f t="shared" ref="AY36:AY47" si="3">AS36/$J$29</f>
        <v>0</v>
      </c>
      <c r="AZ36" s="2212"/>
      <c r="BA36" s="2212"/>
      <c r="BB36" s="2212"/>
      <c r="BC36" s="2212"/>
      <c r="BD36" s="2213"/>
      <c r="BE36" s="1215"/>
    </row>
    <row r="37" spans="1:58" ht="15.75" customHeight="1">
      <c r="A37" s="1208"/>
      <c r="B37" s="2155" t="s">
        <v>2352</v>
      </c>
      <c r="C37" s="2156"/>
      <c r="D37" s="2156"/>
      <c r="E37" s="2156"/>
      <c r="F37" s="2156"/>
      <c r="G37" s="2156"/>
      <c r="H37" s="2156"/>
      <c r="I37" s="2156"/>
      <c r="J37" s="2220" t="s">
        <v>2351</v>
      </c>
      <c r="K37" s="2220"/>
      <c r="L37" s="2220"/>
      <c r="M37" s="2220"/>
      <c r="N37" s="2220">
        <v>55</v>
      </c>
      <c r="O37" s="2220"/>
      <c r="P37" s="2220"/>
      <c r="Q37" s="2220"/>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05"/>
      <c r="AM37" s="2206"/>
      <c r="AN37" s="2206"/>
      <c r="AO37" s="2207"/>
      <c r="AP37" s="2205"/>
      <c r="AQ37" s="2206"/>
      <c r="AR37" s="2207"/>
      <c r="AS37" s="2208">
        <f t="shared" si="2"/>
        <v>0</v>
      </c>
      <c r="AT37" s="2209"/>
      <c r="AU37" s="2209"/>
      <c r="AV37" s="2209"/>
      <c r="AW37" s="2209"/>
      <c r="AX37" s="2210"/>
      <c r="AY37" s="2211">
        <f t="shared" si="3"/>
        <v>0</v>
      </c>
      <c r="AZ37" s="2212"/>
      <c r="BA37" s="2212"/>
      <c r="BB37" s="2212"/>
      <c r="BC37" s="2212"/>
      <c r="BD37" s="2213"/>
      <c r="BE37" s="1215"/>
    </row>
    <row r="38" spans="1:58" ht="15.75" customHeight="1">
      <c r="A38" s="1208"/>
      <c r="B38" s="2155" t="s">
        <v>2350</v>
      </c>
      <c r="C38" s="2156"/>
      <c r="D38" s="2156"/>
      <c r="E38" s="2156"/>
      <c r="F38" s="2156"/>
      <c r="G38" s="2156"/>
      <c r="H38" s="2156"/>
      <c r="I38" s="2156"/>
      <c r="J38" s="2220" t="s">
        <v>2349</v>
      </c>
      <c r="K38" s="2220"/>
      <c r="L38" s="2220"/>
      <c r="M38" s="2220"/>
      <c r="N38" s="2220">
        <v>55</v>
      </c>
      <c r="O38" s="2220"/>
      <c r="P38" s="2220"/>
      <c r="Q38" s="2220"/>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05"/>
      <c r="AM38" s="2206"/>
      <c r="AN38" s="2206"/>
      <c r="AO38" s="2207"/>
      <c r="AP38" s="2205"/>
      <c r="AQ38" s="2206"/>
      <c r="AR38" s="2207"/>
      <c r="AS38" s="2208">
        <f t="shared" si="2"/>
        <v>0</v>
      </c>
      <c r="AT38" s="2209"/>
      <c r="AU38" s="2209"/>
      <c r="AV38" s="2209"/>
      <c r="AW38" s="2209"/>
      <c r="AX38" s="2210"/>
      <c r="AY38" s="2211">
        <f t="shared" si="3"/>
        <v>0</v>
      </c>
      <c r="AZ38" s="2212"/>
      <c r="BA38" s="2212"/>
      <c r="BB38" s="2212"/>
      <c r="BC38" s="2212"/>
      <c r="BD38" s="2213"/>
      <c r="BE38" s="1215"/>
    </row>
    <row r="39" spans="1:58" ht="15.75" customHeight="1">
      <c r="A39" s="1208"/>
      <c r="B39" s="2155" t="s">
        <v>2348</v>
      </c>
      <c r="C39" s="2156"/>
      <c r="D39" s="2156"/>
      <c r="E39" s="2156"/>
      <c r="F39" s="2156"/>
      <c r="G39" s="2156"/>
      <c r="H39" s="2156"/>
      <c r="I39" s="2156"/>
      <c r="J39" s="2220"/>
      <c r="K39" s="2220"/>
      <c r="L39" s="2220"/>
      <c r="M39" s="2220"/>
      <c r="N39" s="2220"/>
      <c r="O39" s="2220"/>
      <c r="P39" s="2220"/>
      <c r="Q39" s="2220"/>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05"/>
      <c r="AM39" s="2206"/>
      <c r="AN39" s="2206"/>
      <c r="AO39" s="2207"/>
      <c r="AP39" s="2205"/>
      <c r="AQ39" s="2206"/>
      <c r="AR39" s="2207"/>
      <c r="AS39" s="2208">
        <f t="shared" si="2"/>
        <v>0</v>
      </c>
      <c r="AT39" s="2209"/>
      <c r="AU39" s="2209"/>
      <c r="AV39" s="2209"/>
      <c r="AW39" s="2209"/>
      <c r="AX39" s="2210"/>
      <c r="AY39" s="2211">
        <f t="shared" si="3"/>
        <v>0</v>
      </c>
      <c r="AZ39" s="2212"/>
      <c r="BA39" s="2212"/>
      <c r="BB39" s="2212"/>
      <c r="BC39" s="2212"/>
      <c r="BD39" s="2213"/>
      <c r="BE39" s="1215"/>
    </row>
    <row r="40" spans="1:58" ht="15.75" customHeight="1">
      <c r="A40" s="1208"/>
      <c r="B40" s="2155" t="s">
        <v>2348</v>
      </c>
      <c r="C40" s="2156"/>
      <c r="D40" s="2156"/>
      <c r="E40" s="2156"/>
      <c r="F40" s="2156"/>
      <c r="G40" s="2156"/>
      <c r="H40" s="2156"/>
      <c r="I40" s="2156"/>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f t="shared" si="3"/>
        <v>0</v>
      </c>
      <c r="AZ40" s="2212"/>
      <c r="BA40" s="2212"/>
      <c r="BB40" s="2212"/>
      <c r="BC40" s="2212"/>
      <c r="BD40" s="2213"/>
      <c r="BE40" s="1215"/>
    </row>
    <row r="41" spans="1:58" ht="15.75" customHeight="1">
      <c r="A41" s="1208"/>
      <c r="B41" s="2155" t="s">
        <v>2347</v>
      </c>
      <c r="C41" s="2156"/>
      <c r="D41" s="2156"/>
      <c r="E41" s="2156"/>
      <c r="F41" s="2156"/>
      <c r="G41" s="2156"/>
      <c r="H41" s="2156"/>
      <c r="I41" s="2156"/>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f t="shared" si="3"/>
        <v>0</v>
      </c>
      <c r="AZ41" s="2212"/>
      <c r="BA41" s="2212"/>
      <c r="BB41" s="2212"/>
      <c r="BC41" s="2212"/>
      <c r="BD41" s="2213"/>
      <c r="BE41" s="1215"/>
    </row>
    <row r="42" spans="1:58" ht="15.75" customHeight="1">
      <c r="A42" s="1208"/>
      <c r="B42" s="2155" t="s">
        <v>2347</v>
      </c>
      <c r="C42" s="2156"/>
      <c r="D42" s="2156"/>
      <c r="E42" s="2156"/>
      <c r="F42" s="2156"/>
      <c r="G42" s="2156"/>
      <c r="H42" s="2156"/>
      <c r="I42" s="2156"/>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f t="shared" si="3"/>
        <v>0</v>
      </c>
      <c r="AZ42" s="2212"/>
      <c r="BA42" s="2212"/>
      <c r="BB42" s="2212"/>
      <c r="BC42" s="2212"/>
      <c r="BD42" s="2213"/>
      <c r="BE42" s="1215"/>
    </row>
    <row r="43" spans="1:58" ht="15.75" customHeight="1">
      <c r="A43" s="1208"/>
      <c r="B43" s="2160" t="s">
        <v>2346</v>
      </c>
      <c r="C43" s="2161"/>
      <c r="D43" s="2161"/>
      <c r="E43" s="2161"/>
      <c r="F43" s="2161"/>
      <c r="G43" s="2161"/>
      <c r="H43" s="2161"/>
      <c r="I43" s="2161"/>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f t="shared" si="3"/>
        <v>0</v>
      </c>
      <c r="AZ43" s="2212"/>
      <c r="BA43" s="2212"/>
      <c r="BB43" s="2212"/>
      <c r="BC43" s="2212"/>
      <c r="BD43" s="2213"/>
      <c r="BE43" s="1215"/>
    </row>
    <row r="44" spans="1:58" ht="15.75" customHeight="1">
      <c r="A44" s="1208"/>
      <c r="B44" s="2160" t="s">
        <v>2345</v>
      </c>
      <c r="C44" s="2161"/>
      <c r="D44" s="2161"/>
      <c r="E44" s="2161"/>
      <c r="F44" s="2161"/>
      <c r="G44" s="2161"/>
      <c r="H44" s="2161"/>
      <c r="I44" s="2161"/>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f t="shared" si="3"/>
        <v>0</v>
      </c>
      <c r="AZ44" s="2212"/>
      <c r="BA44" s="2212"/>
      <c r="BB44" s="2212"/>
      <c r="BC44" s="2212"/>
      <c r="BD44" s="2213"/>
      <c r="BE44" s="1215"/>
    </row>
    <row r="45" spans="1:58" ht="15.75" customHeight="1">
      <c r="A45" s="1208"/>
      <c r="B45" s="2160" t="s">
        <v>2344</v>
      </c>
      <c r="C45" s="2161"/>
      <c r="D45" s="2161"/>
      <c r="E45" s="2161"/>
      <c r="F45" s="2161"/>
      <c r="G45" s="2161"/>
      <c r="H45" s="2161"/>
      <c r="I45" s="2161"/>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f t="shared" si="3"/>
        <v>0</v>
      </c>
      <c r="AZ45" s="2212"/>
      <c r="BA45" s="2212"/>
      <c r="BB45" s="2212"/>
      <c r="BC45" s="2212"/>
      <c r="BD45" s="2213"/>
      <c r="BE45" s="1215"/>
    </row>
    <row r="46" spans="1:58" ht="15.75" customHeight="1">
      <c r="A46" s="1208"/>
      <c r="B46" s="2160" t="s">
        <v>2276</v>
      </c>
      <c r="C46" s="2161"/>
      <c r="D46" s="2161"/>
      <c r="E46" s="2161"/>
      <c r="F46" s="2161"/>
      <c r="G46" s="2161"/>
      <c r="H46" s="2161"/>
      <c r="I46" s="2161"/>
      <c r="J46" s="2220"/>
      <c r="K46" s="2220"/>
      <c r="L46" s="2220"/>
      <c r="M46" s="2220"/>
      <c r="N46" s="2220">
        <v>99</v>
      </c>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f t="shared" si="3"/>
        <v>0</v>
      </c>
      <c r="AZ46" s="2212"/>
      <c r="BA46" s="2212"/>
      <c r="BB46" s="2212"/>
      <c r="BC46" s="2212"/>
      <c r="BD46" s="2213"/>
      <c r="BE46" s="1215"/>
    </row>
    <row r="47" spans="1:58" ht="15.75" customHeight="1" thickBot="1">
      <c r="A47" s="1208"/>
      <c r="B47" s="2214" t="s">
        <v>300</v>
      </c>
      <c r="C47" s="2215"/>
      <c r="D47" s="2215"/>
      <c r="E47" s="2215"/>
      <c r="F47" s="2215"/>
      <c r="G47" s="2215"/>
      <c r="H47" s="2215"/>
      <c r="I47" s="2215"/>
      <c r="J47" s="2216"/>
      <c r="K47" s="2216"/>
      <c r="L47" s="2216"/>
      <c r="M47" s="2216"/>
      <c r="N47" s="2216"/>
      <c r="O47" s="2216"/>
      <c r="P47" s="2216"/>
      <c r="Q47" s="2216"/>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2"/>
      <c r="AM47" s="2203"/>
      <c r="AN47" s="2203"/>
      <c r="AO47" s="2204"/>
      <c r="AP47" s="2202"/>
      <c r="AQ47" s="2203"/>
      <c r="AR47" s="2204"/>
      <c r="AS47" s="2208">
        <f t="shared" si="2"/>
        <v>0</v>
      </c>
      <c r="AT47" s="2209"/>
      <c r="AU47" s="2209"/>
      <c r="AV47" s="2209"/>
      <c r="AW47" s="2209"/>
      <c r="AX47" s="2210"/>
      <c r="AY47" s="2217">
        <f t="shared" si="3"/>
        <v>0</v>
      </c>
      <c r="AZ47" s="2218"/>
      <c r="BA47" s="2218"/>
      <c r="BB47" s="2218"/>
      <c r="BC47" s="2218"/>
      <c r="BD47" s="2219"/>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9" t="s">
        <v>2341</v>
      </c>
      <c r="C50" s="2035"/>
      <c r="D50" s="2035"/>
      <c r="E50" s="2035"/>
      <c r="F50" s="2035"/>
      <c r="G50" s="2035"/>
      <c r="H50" s="2035"/>
      <c r="I50" s="2035"/>
      <c r="J50" s="2035"/>
      <c r="K50" s="2035"/>
      <c r="L50" s="2035"/>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3" t="s">
        <v>2334</v>
      </c>
      <c r="C51" s="2107"/>
      <c r="D51" s="2107"/>
      <c r="E51" s="2107"/>
      <c r="F51" s="2107"/>
      <c r="G51" s="2107"/>
      <c r="H51" s="2107"/>
      <c r="I51" s="2107"/>
      <c r="J51" s="2107" t="s">
        <v>2340</v>
      </c>
      <c r="K51" s="2107"/>
      <c r="L51" s="2107"/>
      <c r="M51" s="2107"/>
      <c r="N51" s="2107"/>
      <c r="O51" s="2107"/>
      <c r="P51" s="2107"/>
      <c r="Q51" s="2107"/>
      <c r="R51" s="2199" t="s">
        <v>2339</v>
      </c>
      <c r="S51" s="2199"/>
      <c r="T51" s="2199"/>
      <c r="U51" s="2199"/>
      <c r="V51" s="2199"/>
      <c r="W51" s="2199"/>
      <c r="X51" s="2199"/>
      <c r="Y51" s="2199"/>
      <c r="Z51" s="2199" t="s">
        <v>2338</v>
      </c>
      <c r="AA51" s="2199"/>
      <c r="AB51" s="2199"/>
      <c r="AC51" s="2199"/>
      <c r="AD51" s="2199"/>
      <c r="AE51" s="2199"/>
      <c r="AF51" s="2199"/>
      <c r="AG51" s="2199"/>
      <c r="AH51" s="2199" t="s">
        <v>2337</v>
      </c>
      <c r="AI51" s="2199"/>
      <c r="AJ51" s="2199"/>
      <c r="AK51" s="2199"/>
      <c r="AL51" s="2199"/>
      <c r="AM51" s="2199"/>
      <c r="AN51" s="2199"/>
      <c r="AO51" s="220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0" t="s">
        <v>2336</v>
      </c>
      <c r="C52" s="2161"/>
      <c r="D52" s="2161"/>
      <c r="E52" s="2161"/>
      <c r="F52" s="2161"/>
      <c r="G52" s="2161"/>
      <c r="H52" s="2161"/>
      <c r="I52" s="2161"/>
      <c r="J52" s="1996">
        <v>0</v>
      </c>
      <c r="K52" s="1996"/>
      <c r="L52" s="1996"/>
      <c r="M52" s="1996"/>
      <c r="N52" s="1996"/>
      <c r="O52" s="1996"/>
      <c r="P52" s="1996"/>
      <c r="Q52" s="1996"/>
      <c r="R52" s="2191">
        <v>0</v>
      </c>
      <c r="S52" s="2191"/>
      <c r="T52" s="2191"/>
      <c r="U52" s="2191"/>
      <c r="V52" s="2191"/>
      <c r="W52" s="2191"/>
      <c r="X52" s="2191"/>
      <c r="Y52" s="2191"/>
      <c r="Z52" s="2192">
        <v>0</v>
      </c>
      <c r="AA52" s="2192"/>
      <c r="AB52" s="2192"/>
      <c r="AC52" s="2192"/>
      <c r="AD52" s="2192"/>
      <c r="AE52" s="2192"/>
      <c r="AF52" s="2192"/>
      <c r="AG52" s="2192"/>
      <c r="AH52" s="2193"/>
      <c r="AI52" s="2193"/>
      <c r="AJ52" s="2193"/>
      <c r="AK52" s="2193"/>
      <c r="AL52" s="2193"/>
      <c r="AM52" s="2193"/>
      <c r="AN52" s="2193"/>
      <c r="AO52" s="219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0" t="s">
        <v>2335</v>
      </c>
      <c r="C53" s="2161"/>
      <c r="D53" s="2161"/>
      <c r="E53" s="2161"/>
      <c r="F53" s="2161"/>
      <c r="G53" s="2161"/>
      <c r="H53" s="2161"/>
      <c r="I53" s="2161"/>
      <c r="J53" s="1996">
        <v>0</v>
      </c>
      <c r="K53" s="1996"/>
      <c r="L53" s="1996"/>
      <c r="M53" s="1996"/>
      <c r="N53" s="1996"/>
      <c r="O53" s="1996"/>
      <c r="P53" s="1996"/>
      <c r="Q53" s="1996"/>
      <c r="R53" s="2191">
        <v>0</v>
      </c>
      <c r="S53" s="2191"/>
      <c r="T53" s="2191"/>
      <c r="U53" s="2191"/>
      <c r="V53" s="2191"/>
      <c r="W53" s="2191"/>
      <c r="X53" s="2191"/>
      <c r="Y53" s="2191"/>
      <c r="Z53" s="2192">
        <v>0</v>
      </c>
      <c r="AA53" s="2192"/>
      <c r="AB53" s="2192"/>
      <c r="AC53" s="2192"/>
      <c r="AD53" s="2192"/>
      <c r="AE53" s="2192"/>
      <c r="AF53" s="2192"/>
      <c r="AG53" s="2192"/>
      <c r="AH53" s="2193"/>
      <c r="AI53" s="2193"/>
      <c r="AJ53" s="2193"/>
      <c r="AK53" s="2193"/>
      <c r="AL53" s="2193"/>
      <c r="AM53" s="2193"/>
      <c r="AN53" s="2193"/>
      <c r="AO53" s="219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0"/>
      <c r="C54" s="2161"/>
      <c r="D54" s="2161"/>
      <c r="E54" s="2161"/>
      <c r="F54" s="2161"/>
      <c r="G54" s="2161"/>
      <c r="H54" s="2161"/>
      <c r="I54" s="2161"/>
      <c r="J54" s="1996"/>
      <c r="K54" s="1996"/>
      <c r="L54" s="1996"/>
      <c r="M54" s="1996"/>
      <c r="N54" s="1996"/>
      <c r="O54" s="1996"/>
      <c r="P54" s="1996"/>
      <c r="Q54" s="1996"/>
      <c r="R54" s="2191"/>
      <c r="S54" s="2191"/>
      <c r="T54" s="2191"/>
      <c r="U54" s="2191"/>
      <c r="V54" s="2191"/>
      <c r="W54" s="2191"/>
      <c r="X54" s="2191"/>
      <c r="Y54" s="2191"/>
      <c r="Z54" s="2192"/>
      <c r="AA54" s="2192"/>
      <c r="AB54" s="2192"/>
      <c r="AC54" s="2192"/>
      <c r="AD54" s="2192"/>
      <c r="AE54" s="2192"/>
      <c r="AF54" s="2192"/>
      <c r="AG54" s="2192"/>
      <c r="AH54" s="2193"/>
      <c r="AI54" s="2193"/>
      <c r="AJ54" s="2193"/>
      <c r="AK54" s="2193"/>
      <c r="AL54" s="2193"/>
      <c r="AM54" s="2193"/>
      <c r="AN54" s="2193"/>
      <c r="AO54" s="219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0"/>
      <c r="C55" s="2161"/>
      <c r="D55" s="2161"/>
      <c r="E55" s="2161"/>
      <c r="F55" s="2161"/>
      <c r="G55" s="2161"/>
      <c r="H55" s="2161"/>
      <c r="I55" s="2161"/>
      <c r="J55" s="1996"/>
      <c r="K55" s="1996"/>
      <c r="L55" s="1996"/>
      <c r="M55" s="1996"/>
      <c r="N55" s="1996"/>
      <c r="O55" s="1996"/>
      <c r="P55" s="1996"/>
      <c r="Q55" s="1996"/>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60"/>
      <c r="C56" s="2161"/>
      <c r="D56" s="2161"/>
      <c r="E56" s="2161"/>
      <c r="F56" s="2161"/>
      <c r="G56" s="2161"/>
      <c r="H56" s="2161"/>
      <c r="I56" s="2161"/>
      <c r="J56" s="1996"/>
      <c r="K56" s="1996"/>
      <c r="L56" s="1996"/>
      <c r="M56" s="1996"/>
      <c r="N56" s="1996"/>
      <c r="O56" s="1996"/>
      <c r="P56" s="1996"/>
      <c r="Q56" s="1996"/>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1" t="s">
        <v>1575</v>
      </c>
      <c r="C57" s="2142"/>
      <c r="D57" s="2142"/>
      <c r="E57" s="2142"/>
      <c r="F57" s="2142"/>
      <c r="G57" s="2142"/>
      <c r="H57" s="2142"/>
      <c r="I57" s="2142"/>
      <c r="J57" s="2142"/>
      <c r="K57" s="2142"/>
      <c r="L57" s="2142"/>
      <c r="M57" s="2142"/>
      <c r="N57" s="2142"/>
      <c r="O57" s="2142"/>
      <c r="P57" s="2142"/>
      <c r="Q57" s="2142"/>
      <c r="R57" s="2195">
        <f>SUM(R52:Y56)</f>
        <v>0</v>
      </c>
      <c r="S57" s="2195"/>
      <c r="T57" s="2195"/>
      <c r="U57" s="2195"/>
      <c r="V57" s="2195"/>
      <c r="W57" s="2195"/>
      <c r="X57" s="2195"/>
      <c r="Y57" s="2195"/>
      <c r="Z57" s="2196">
        <f>SUM(Z52:AG56)</f>
        <v>0</v>
      </c>
      <c r="AA57" s="2196"/>
      <c r="AB57" s="2196"/>
      <c r="AC57" s="2196"/>
      <c r="AD57" s="2196"/>
      <c r="AE57" s="2196"/>
      <c r="AF57" s="2196"/>
      <c r="AG57" s="2196"/>
      <c r="AH57" s="2197"/>
      <c r="AI57" s="2197"/>
      <c r="AJ57" s="2197"/>
      <c r="AK57" s="2197"/>
      <c r="AL57" s="2197"/>
      <c r="AM57" s="2197"/>
      <c r="AN57" s="2197"/>
      <c r="AO57" s="2198"/>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8" t="s">
        <v>2334</v>
      </c>
      <c r="C59" s="2189"/>
      <c r="D59" s="2189"/>
      <c r="E59" s="2189"/>
      <c r="F59" s="2189"/>
      <c r="G59" s="2189"/>
      <c r="H59" s="2189"/>
      <c r="I59" s="2190"/>
      <c r="J59" s="2111" t="s">
        <v>2333</v>
      </c>
      <c r="K59" s="2111"/>
      <c r="L59" s="2111"/>
      <c r="M59" s="2111"/>
      <c r="N59" s="2111"/>
      <c r="O59" s="2111"/>
      <c r="P59" s="2111"/>
      <c r="Q59" s="2111"/>
      <c r="R59" s="2111"/>
      <c r="S59" s="2111"/>
      <c r="T59" s="2111"/>
      <c r="U59" s="2111"/>
      <c r="V59" s="2111"/>
      <c r="W59" s="2111"/>
      <c r="X59" s="2111"/>
      <c r="Y59" s="2111"/>
      <c r="Z59" s="2111"/>
      <c r="AA59" s="2111"/>
      <c r="AB59" s="2111"/>
      <c r="AC59" s="2111"/>
      <c r="AD59" s="2111"/>
      <c r="AE59" s="2111"/>
      <c r="AF59" s="2111"/>
      <c r="AG59" s="2111"/>
      <c r="AH59" s="2111"/>
      <c r="AI59" s="2111"/>
      <c r="AJ59" s="2111"/>
      <c r="AK59" s="2111"/>
      <c r="AL59" s="2111"/>
      <c r="AM59" s="2111"/>
      <c r="AN59" s="2111"/>
      <c r="AO59" s="2111"/>
      <c r="AP59" s="2111"/>
      <c r="AQ59" s="2111"/>
      <c r="AR59" s="2111"/>
      <c r="AS59" s="2111"/>
      <c r="AT59" s="2111"/>
      <c r="AU59" s="2111"/>
      <c r="AV59" s="2111"/>
      <c r="AW59" s="2112"/>
      <c r="AX59" s="1208"/>
      <c r="AY59" s="1208"/>
      <c r="AZ59" s="1208"/>
      <c r="BA59" s="1208"/>
      <c r="BB59" s="1208"/>
      <c r="BC59" s="1208"/>
      <c r="BD59" s="1208"/>
      <c r="BE59" s="1215"/>
    </row>
    <row r="60" spans="1:77" ht="15.75" customHeight="1">
      <c r="A60" s="1208"/>
      <c r="B60" s="2180" t="str">
        <f>IF(B52="", "", B52)</f>
        <v>Services Company 1</v>
      </c>
      <c r="C60" s="2181"/>
      <c r="D60" s="2181"/>
      <c r="E60" s="2181"/>
      <c r="F60" s="2181"/>
      <c r="G60" s="2181"/>
      <c r="H60" s="2181"/>
      <c r="I60" s="2182"/>
      <c r="J60" s="2183"/>
      <c r="K60" s="1999"/>
      <c r="L60" s="1999"/>
      <c r="M60" s="1999"/>
      <c r="N60" s="1999"/>
      <c r="O60" s="1999"/>
      <c r="P60" s="1999"/>
      <c r="Q60" s="1999"/>
      <c r="R60" s="1999"/>
      <c r="S60" s="1999"/>
      <c r="T60" s="1999"/>
      <c r="U60" s="1999"/>
      <c r="V60" s="1999"/>
      <c r="W60" s="1999"/>
      <c r="X60" s="1999"/>
      <c r="Y60" s="1999"/>
      <c r="Z60" s="1999"/>
      <c r="AA60" s="1999"/>
      <c r="AB60" s="1999"/>
      <c r="AC60" s="1999"/>
      <c r="AD60" s="1999"/>
      <c r="AE60" s="1999"/>
      <c r="AF60" s="1999"/>
      <c r="AG60" s="1999"/>
      <c r="AH60" s="1999"/>
      <c r="AI60" s="1999"/>
      <c r="AJ60" s="1999"/>
      <c r="AK60" s="1999"/>
      <c r="AL60" s="1999"/>
      <c r="AM60" s="1999"/>
      <c r="AN60" s="1999"/>
      <c r="AO60" s="1999"/>
      <c r="AP60" s="1999"/>
      <c r="AQ60" s="1999"/>
      <c r="AR60" s="1999"/>
      <c r="AS60" s="1999"/>
      <c r="AT60" s="1999"/>
      <c r="AU60" s="1999"/>
      <c r="AV60" s="1999"/>
      <c r="AW60" s="2000"/>
      <c r="AX60" s="1208"/>
      <c r="AY60" s="1208"/>
      <c r="AZ60" s="1208"/>
      <c r="BA60" s="1208"/>
      <c r="BB60" s="1208"/>
      <c r="BC60" s="1208"/>
      <c r="BD60" s="1208"/>
      <c r="BE60" s="1215"/>
    </row>
    <row r="61" spans="1:77" ht="15.75" customHeight="1">
      <c r="A61" s="1208"/>
      <c r="B61" s="2180" t="str">
        <f>IF(B53="", "", B53)</f>
        <v>Services Company 2</v>
      </c>
      <c r="C61" s="2181"/>
      <c r="D61" s="2181"/>
      <c r="E61" s="2181"/>
      <c r="F61" s="2181"/>
      <c r="G61" s="2181"/>
      <c r="H61" s="2181"/>
      <c r="I61" s="2182"/>
      <c r="J61" s="2183"/>
      <c r="K61" s="1999"/>
      <c r="L61" s="1999"/>
      <c r="M61" s="1999"/>
      <c r="N61" s="1999"/>
      <c r="O61" s="1999"/>
      <c r="P61" s="1999"/>
      <c r="Q61" s="1999"/>
      <c r="R61" s="1999"/>
      <c r="S61" s="1999"/>
      <c r="T61" s="1999"/>
      <c r="U61" s="1999"/>
      <c r="V61" s="1999"/>
      <c r="W61" s="1999"/>
      <c r="X61" s="1999"/>
      <c r="Y61" s="1999"/>
      <c r="Z61" s="1999"/>
      <c r="AA61" s="1999"/>
      <c r="AB61" s="1999"/>
      <c r="AC61" s="1999"/>
      <c r="AD61" s="1999"/>
      <c r="AE61" s="1999"/>
      <c r="AF61" s="1999"/>
      <c r="AG61" s="1999"/>
      <c r="AH61" s="1999"/>
      <c r="AI61" s="1999"/>
      <c r="AJ61" s="1999"/>
      <c r="AK61" s="1999"/>
      <c r="AL61" s="1999"/>
      <c r="AM61" s="1999"/>
      <c r="AN61" s="1999"/>
      <c r="AO61" s="1999"/>
      <c r="AP61" s="1999"/>
      <c r="AQ61" s="1999"/>
      <c r="AR61" s="1999"/>
      <c r="AS61" s="1999"/>
      <c r="AT61" s="1999"/>
      <c r="AU61" s="1999"/>
      <c r="AV61" s="1999"/>
      <c r="AW61" s="2000"/>
      <c r="AX61" s="1208"/>
      <c r="AY61" s="1208"/>
      <c r="AZ61" s="1208"/>
      <c r="BA61" s="1208"/>
      <c r="BB61" s="1208"/>
      <c r="BC61" s="1208"/>
      <c r="BD61" s="1208"/>
      <c r="BE61" s="1215"/>
    </row>
    <row r="62" spans="1:77" ht="15.75" customHeight="1">
      <c r="A62" s="1208"/>
      <c r="B62" s="2180" t="str">
        <f>IF(B54="", "", B54)</f>
        <v/>
      </c>
      <c r="C62" s="2181"/>
      <c r="D62" s="2181"/>
      <c r="E62" s="2181"/>
      <c r="F62" s="2181"/>
      <c r="G62" s="2181"/>
      <c r="H62" s="2181"/>
      <c r="I62" s="2182"/>
      <c r="J62" s="2183"/>
      <c r="K62" s="1999"/>
      <c r="L62" s="1999"/>
      <c r="M62" s="1999"/>
      <c r="N62" s="1999"/>
      <c r="O62" s="1999"/>
      <c r="P62" s="1999"/>
      <c r="Q62" s="1999"/>
      <c r="R62" s="1999"/>
      <c r="S62" s="1999"/>
      <c r="T62" s="1999"/>
      <c r="U62" s="1999"/>
      <c r="V62" s="1999"/>
      <c r="W62" s="1999"/>
      <c r="X62" s="1999"/>
      <c r="Y62" s="1999"/>
      <c r="Z62" s="1999"/>
      <c r="AA62" s="1999"/>
      <c r="AB62" s="1999"/>
      <c r="AC62" s="1999"/>
      <c r="AD62" s="1999"/>
      <c r="AE62" s="1999"/>
      <c r="AF62" s="1999"/>
      <c r="AG62" s="1999"/>
      <c r="AH62" s="1999"/>
      <c r="AI62" s="1999"/>
      <c r="AJ62" s="1999"/>
      <c r="AK62" s="1999"/>
      <c r="AL62" s="1999"/>
      <c r="AM62" s="1999"/>
      <c r="AN62" s="1999"/>
      <c r="AO62" s="1999"/>
      <c r="AP62" s="1999"/>
      <c r="AQ62" s="1999"/>
      <c r="AR62" s="1999"/>
      <c r="AS62" s="1999"/>
      <c r="AT62" s="1999"/>
      <c r="AU62" s="1999"/>
      <c r="AV62" s="1999"/>
      <c r="AW62" s="2000"/>
      <c r="AX62" s="1208"/>
      <c r="AY62" s="1208"/>
      <c r="AZ62" s="1208"/>
      <c r="BA62" s="1208"/>
      <c r="BB62" s="1208"/>
      <c r="BC62" s="1208"/>
      <c r="BD62" s="1208"/>
      <c r="BE62" s="1215"/>
    </row>
    <row r="63" spans="1:77" ht="15.75" customHeight="1">
      <c r="A63" s="1208"/>
      <c r="B63" s="2180" t="str">
        <f>IF(B55="", "", B55)</f>
        <v/>
      </c>
      <c r="C63" s="2181"/>
      <c r="D63" s="2181"/>
      <c r="E63" s="2181"/>
      <c r="F63" s="2181"/>
      <c r="G63" s="2181"/>
      <c r="H63" s="2181"/>
      <c r="I63" s="2182"/>
      <c r="J63" s="2183"/>
      <c r="K63" s="1999"/>
      <c r="L63" s="1999"/>
      <c r="M63" s="1999"/>
      <c r="N63" s="1999"/>
      <c r="O63" s="1999"/>
      <c r="P63" s="1999"/>
      <c r="Q63" s="1999"/>
      <c r="R63" s="1999"/>
      <c r="S63" s="1999"/>
      <c r="T63" s="1999"/>
      <c r="U63" s="1999"/>
      <c r="V63" s="1999"/>
      <c r="W63" s="1999"/>
      <c r="X63" s="1999"/>
      <c r="Y63" s="1999"/>
      <c r="Z63" s="1999"/>
      <c r="AA63" s="1999"/>
      <c r="AB63" s="1999"/>
      <c r="AC63" s="1999"/>
      <c r="AD63" s="1999"/>
      <c r="AE63" s="1999"/>
      <c r="AF63" s="1999"/>
      <c r="AG63" s="1999"/>
      <c r="AH63" s="1999"/>
      <c r="AI63" s="1999"/>
      <c r="AJ63" s="1999"/>
      <c r="AK63" s="1999"/>
      <c r="AL63" s="1999"/>
      <c r="AM63" s="1999"/>
      <c r="AN63" s="1999"/>
      <c r="AO63" s="1999"/>
      <c r="AP63" s="1999"/>
      <c r="AQ63" s="1999"/>
      <c r="AR63" s="1999"/>
      <c r="AS63" s="1999"/>
      <c r="AT63" s="1999"/>
      <c r="AU63" s="1999"/>
      <c r="AV63" s="1999"/>
      <c r="AW63" s="2000"/>
      <c r="AX63" s="1208"/>
      <c r="AY63" s="1208"/>
      <c r="AZ63" s="1208"/>
      <c r="BA63" s="1208"/>
      <c r="BB63" s="1208"/>
      <c r="BC63" s="1208"/>
      <c r="BD63" s="1208"/>
      <c r="BE63" s="1215"/>
    </row>
    <row r="64" spans="1:77" ht="15.75" customHeight="1" thickBot="1">
      <c r="A64" s="1208"/>
      <c r="B64" s="2184" t="str">
        <f>IF(B56="", "", B56)</f>
        <v/>
      </c>
      <c r="C64" s="2185"/>
      <c r="D64" s="2185"/>
      <c r="E64" s="2185"/>
      <c r="F64" s="2185"/>
      <c r="G64" s="2185"/>
      <c r="H64" s="2185"/>
      <c r="I64" s="2186"/>
      <c r="J64" s="2187"/>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0" t="s">
        <v>2331</v>
      </c>
      <c r="C68" s="2111"/>
      <c r="D68" s="2111"/>
      <c r="E68" s="2111"/>
      <c r="F68" s="2111"/>
      <c r="G68" s="2111"/>
      <c r="H68" s="2111"/>
      <c r="I68" s="2111"/>
      <c r="J68" s="2111"/>
      <c r="K68" s="2111"/>
      <c r="L68" s="2111"/>
      <c r="M68" s="2111"/>
      <c r="N68" s="2111"/>
      <c r="O68" s="2111"/>
      <c r="P68" s="2111"/>
      <c r="Q68" s="2111"/>
      <c r="R68" s="2111"/>
      <c r="S68" s="2111"/>
      <c r="T68" s="2111"/>
      <c r="U68" s="2111"/>
      <c r="V68" s="2111"/>
      <c r="W68" s="2111"/>
      <c r="X68" s="2111"/>
      <c r="Y68" s="2111"/>
      <c r="Z68" s="2111"/>
      <c r="AA68" s="2112"/>
      <c r="AB68" s="1208"/>
      <c r="AC68" s="2033" t="s">
        <v>2330</v>
      </c>
      <c r="AD68" s="2034"/>
      <c r="AE68" s="2034"/>
      <c r="AF68" s="2034"/>
      <c r="AG68" s="2034"/>
      <c r="AH68" s="2034"/>
      <c r="AI68" s="2034"/>
      <c r="AJ68" s="2034"/>
      <c r="AK68" s="2034"/>
      <c r="AL68" s="2034"/>
      <c r="AM68" s="2034"/>
      <c r="AN68" s="2034"/>
      <c r="AO68" s="2034"/>
      <c r="AP68" s="2034"/>
      <c r="AQ68" s="2034"/>
      <c r="AR68" s="2034"/>
      <c r="AS68" s="2034"/>
      <c r="AT68" s="2034"/>
      <c r="AU68" s="2034"/>
      <c r="AV68" s="2172" t="s">
        <v>669</v>
      </c>
      <c r="AW68" s="2090"/>
      <c r="AX68" s="2090"/>
      <c r="AY68" s="2090"/>
      <c r="AZ68" s="2090"/>
      <c r="BA68" s="2090"/>
      <c r="BB68" s="2090"/>
      <c r="BC68" s="2091"/>
      <c r="BD68" s="1208"/>
      <c r="BE68" s="1215"/>
      <c r="BM68" s="1221" t="s">
        <v>2329</v>
      </c>
    </row>
    <row r="69" spans="1:94" ht="15.75" customHeight="1" thickTop="1" thickBot="1">
      <c r="A69" s="1208"/>
      <c r="B69" s="2173" t="s">
        <v>2328</v>
      </c>
      <c r="C69" s="2174"/>
      <c r="D69" s="2174"/>
      <c r="E69" s="2174"/>
      <c r="F69" s="2174"/>
      <c r="G69" s="2174"/>
      <c r="H69" s="2174"/>
      <c r="I69" s="2174"/>
      <c r="J69" s="2174"/>
      <c r="K69" s="2174"/>
      <c r="L69" s="2174"/>
      <c r="M69" s="2174"/>
      <c r="N69" s="2174"/>
      <c r="O69" s="2175" t="s">
        <v>2327</v>
      </c>
      <c r="P69" s="2176"/>
      <c r="Q69" s="2176"/>
      <c r="R69" s="2176"/>
      <c r="S69" s="2176"/>
      <c r="T69" s="2176"/>
      <c r="U69" s="2176"/>
      <c r="V69" s="2176"/>
      <c r="W69" s="2176"/>
      <c r="X69" s="2176"/>
      <c r="Y69" s="2176"/>
      <c r="Z69" s="2176"/>
      <c r="AA69" s="2177"/>
      <c r="AB69" s="1208"/>
      <c r="AC69" s="2178" t="s">
        <v>2326</v>
      </c>
      <c r="AD69" s="2179"/>
      <c r="AE69" s="2179"/>
      <c r="AF69" s="2179"/>
      <c r="AG69" s="2179"/>
      <c r="AH69" s="2179"/>
      <c r="AI69" s="2179"/>
      <c r="AJ69" s="2179"/>
      <c r="AK69" s="2179"/>
      <c r="AL69" s="2179"/>
      <c r="AM69" s="2179"/>
      <c r="AN69" s="2179"/>
      <c r="AO69" s="2179"/>
      <c r="AP69" s="2179"/>
      <c r="AQ69" s="2179"/>
      <c r="AR69" s="2179"/>
      <c r="AS69" s="2179"/>
      <c r="AT69" s="2179"/>
      <c r="AU69" s="2179"/>
      <c r="AV69" s="2172" t="s">
        <v>669</v>
      </c>
      <c r="AW69" s="2090"/>
      <c r="AX69" s="2090"/>
      <c r="AY69" s="2090"/>
      <c r="AZ69" s="2090"/>
      <c r="BA69" s="2090"/>
      <c r="BB69" s="2090"/>
      <c r="BC69" s="2091"/>
      <c r="BD69" s="1208"/>
      <c r="BE69" s="1215"/>
      <c r="BM69" s="1222" t="s">
        <v>545</v>
      </c>
    </row>
    <row r="70" spans="1:94" ht="15.75" customHeight="1">
      <c r="A70" s="1208"/>
      <c r="B70" s="2155" t="s">
        <v>2325</v>
      </c>
      <c r="C70" s="2156"/>
      <c r="D70" s="2156"/>
      <c r="E70" s="2156"/>
      <c r="F70" s="2156"/>
      <c r="G70" s="2156"/>
      <c r="H70" s="2156"/>
      <c r="I70" s="2156"/>
      <c r="J70" s="2156"/>
      <c r="K70" s="2156"/>
      <c r="L70" s="2156"/>
      <c r="M70" s="2156"/>
      <c r="N70" s="2156"/>
      <c r="O70" s="2041">
        <v>0</v>
      </c>
      <c r="P70" s="2041"/>
      <c r="Q70" s="2041"/>
      <c r="R70" s="2041"/>
      <c r="S70" s="2041"/>
      <c r="T70" s="2041"/>
      <c r="U70" s="2041"/>
      <c r="V70" s="2041"/>
      <c r="W70" s="2041"/>
      <c r="X70" s="2041"/>
      <c r="Y70" s="2041"/>
      <c r="Z70" s="2041"/>
      <c r="AA70" s="2157"/>
      <c r="AB70" s="1208"/>
      <c r="AC70" s="2079" t="s">
        <v>2324</v>
      </c>
      <c r="AD70" s="2035"/>
      <c r="AE70" s="2035"/>
      <c r="AF70" s="2166"/>
      <c r="AG70" s="2166"/>
      <c r="AH70" s="2166"/>
      <c r="AI70" s="2166"/>
      <c r="AJ70" s="2166"/>
      <c r="AK70" s="2166"/>
      <c r="AL70" s="2166"/>
      <c r="AM70" s="2166"/>
      <c r="AN70" s="2166"/>
      <c r="AO70" s="2166"/>
      <c r="AP70" s="2166"/>
      <c r="AQ70" s="2166"/>
      <c r="AR70" s="2166"/>
      <c r="AS70" s="2166"/>
      <c r="AT70" s="2166"/>
      <c r="AU70" s="2167"/>
      <c r="AV70" s="1208"/>
      <c r="AW70" s="1208"/>
      <c r="AX70" s="1208"/>
      <c r="AY70" s="1208"/>
      <c r="AZ70" s="1208"/>
      <c r="BA70" s="1208"/>
      <c r="BB70" s="1208"/>
      <c r="BC70" s="1208"/>
      <c r="BD70" s="1208"/>
      <c r="BE70" s="1215"/>
      <c r="BM70" s="1223" t="s">
        <v>669</v>
      </c>
    </row>
    <row r="71" spans="1:94" ht="15.75" customHeight="1" thickBot="1">
      <c r="A71" s="1208"/>
      <c r="B71" s="2155" t="s">
        <v>2323</v>
      </c>
      <c r="C71" s="2156"/>
      <c r="D71" s="2156"/>
      <c r="E71" s="2156"/>
      <c r="F71" s="2156"/>
      <c r="G71" s="2156"/>
      <c r="H71" s="2156"/>
      <c r="I71" s="2156"/>
      <c r="J71" s="2156"/>
      <c r="K71" s="2156"/>
      <c r="L71" s="2156"/>
      <c r="M71" s="2156"/>
      <c r="N71" s="2156"/>
      <c r="O71" s="2041">
        <v>0</v>
      </c>
      <c r="P71" s="2041"/>
      <c r="Q71" s="2041"/>
      <c r="R71" s="2041"/>
      <c r="S71" s="2041"/>
      <c r="T71" s="2041"/>
      <c r="U71" s="2041"/>
      <c r="V71" s="2041"/>
      <c r="W71" s="2041"/>
      <c r="X71" s="2041"/>
      <c r="Y71" s="2041"/>
      <c r="Z71" s="2041"/>
      <c r="AA71" s="2157"/>
      <c r="AB71" s="1208"/>
      <c r="AC71" s="2168" t="s">
        <v>2322</v>
      </c>
      <c r="AD71" s="2169"/>
      <c r="AE71" s="2169"/>
      <c r="AF71" s="2170"/>
      <c r="AG71" s="2170"/>
      <c r="AH71" s="2170"/>
      <c r="AI71" s="2170"/>
      <c r="AJ71" s="2170"/>
      <c r="AK71" s="2170"/>
      <c r="AL71" s="2170"/>
      <c r="AM71" s="2170"/>
      <c r="AN71" s="2170"/>
      <c r="AO71" s="2170"/>
      <c r="AP71" s="2170"/>
      <c r="AQ71" s="2170"/>
      <c r="AR71" s="2170"/>
      <c r="AS71" s="2170"/>
      <c r="AT71" s="2170"/>
      <c r="AU71" s="2171"/>
      <c r="AV71" s="1208"/>
      <c r="AW71" s="1208"/>
      <c r="AX71" s="1208"/>
      <c r="AY71" s="1208"/>
      <c r="AZ71" s="1208"/>
      <c r="BA71" s="1208"/>
      <c r="BB71" s="1208"/>
      <c r="BC71" s="1208"/>
      <c r="BD71" s="1208"/>
      <c r="BE71" s="1215"/>
      <c r="BM71" s="1204" t="s">
        <v>2321</v>
      </c>
    </row>
    <row r="72" spans="1:94" ht="15.75" customHeight="1">
      <c r="A72" s="1208"/>
      <c r="B72" s="2155" t="s">
        <v>2320</v>
      </c>
      <c r="C72" s="2156"/>
      <c r="D72" s="2156"/>
      <c r="E72" s="2156"/>
      <c r="F72" s="2156"/>
      <c r="G72" s="2156"/>
      <c r="H72" s="2156"/>
      <c r="I72" s="2156"/>
      <c r="J72" s="2156"/>
      <c r="K72" s="2156"/>
      <c r="L72" s="2156"/>
      <c r="M72" s="2156"/>
      <c r="N72" s="2156"/>
      <c r="O72" s="2041">
        <v>0</v>
      </c>
      <c r="P72" s="2041"/>
      <c r="Q72" s="2041"/>
      <c r="R72" s="2041"/>
      <c r="S72" s="2041"/>
      <c r="T72" s="2041"/>
      <c r="U72" s="2041"/>
      <c r="V72" s="2041"/>
      <c r="W72" s="2041"/>
      <c r="X72" s="2041"/>
      <c r="Y72" s="2041"/>
      <c r="Z72" s="2041"/>
      <c r="AA72" s="2157"/>
      <c r="AB72" s="1208"/>
      <c r="AC72" s="2158" t="s">
        <v>2319</v>
      </c>
      <c r="AD72" s="2159"/>
      <c r="AE72" s="2159"/>
      <c r="AF72" s="2159"/>
      <c r="AG72" s="2159"/>
      <c r="AH72" s="2159"/>
      <c r="AI72" s="2159"/>
      <c r="AJ72" s="2159"/>
      <c r="AK72" s="2159"/>
      <c r="AL72" s="2159"/>
      <c r="AM72" s="2159"/>
      <c r="AN72" s="2159"/>
      <c r="AO72" s="2159"/>
      <c r="AP72" s="2159"/>
      <c r="AQ72" s="2159"/>
      <c r="AR72" s="2159"/>
      <c r="AS72" s="2159"/>
      <c r="AT72" s="2159"/>
      <c r="AU72" s="2159"/>
      <c r="AV72" s="2035"/>
      <c r="AW72" s="2035"/>
      <c r="AX72" s="2035"/>
      <c r="AY72" s="2035"/>
      <c r="AZ72" s="2035"/>
      <c r="BA72" s="2035"/>
      <c r="BB72" s="2035"/>
      <c r="BC72" s="2036"/>
      <c r="BD72" s="1208"/>
      <c r="BE72" s="1215"/>
    </row>
    <row r="73" spans="1:94" ht="15.75" customHeight="1">
      <c r="A73" s="1208"/>
      <c r="B73" s="2160" t="s">
        <v>2318</v>
      </c>
      <c r="C73" s="2161"/>
      <c r="D73" s="2161"/>
      <c r="E73" s="2161"/>
      <c r="F73" s="2161"/>
      <c r="G73" s="2161"/>
      <c r="H73" s="2161"/>
      <c r="I73" s="2161"/>
      <c r="J73" s="2161"/>
      <c r="K73" s="2161"/>
      <c r="L73" s="2161"/>
      <c r="M73" s="2161"/>
      <c r="N73" s="2161"/>
      <c r="O73" s="2041">
        <v>0</v>
      </c>
      <c r="P73" s="2041"/>
      <c r="Q73" s="2041"/>
      <c r="R73" s="2041"/>
      <c r="S73" s="2041"/>
      <c r="T73" s="2041"/>
      <c r="U73" s="2041"/>
      <c r="V73" s="2041"/>
      <c r="W73" s="2041"/>
      <c r="X73" s="2041"/>
      <c r="Y73" s="2041"/>
      <c r="Z73" s="2041"/>
      <c r="AA73" s="2157"/>
      <c r="AB73" s="1208"/>
      <c r="AC73" s="2050" t="s">
        <v>2271</v>
      </c>
      <c r="AD73" s="2051"/>
      <c r="AE73" s="2051"/>
      <c r="AF73" s="2051"/>
      <c r="AG73" s="2051"/>
      <c r="AH73" s="2051"/>
      <c r="AI73" s="2051"/>
      <c r="AJ73" s="2051"/>
      <c r="AK73" s="2051"/>
      <c r="AL73" s="2051"/>
      <c r="AM73" s="2051"/>
      <c r="AN73" s="2051"/>
      <c r="AO73" s="2051"/>
      <c r="AP73" s="2051"/>
      <c r="AQ73" s="2051"/>
      <c r="AR73" s="2051"/>
      <c r="AS73" s="2051"/>
      <c r="AT73" s="2051"/>
      <c r="AU73" s="2051"/>
      <c r="AV73" s="2051"/>
      <c r="AW73" s="2051"/>
      <c r="AX73" s="2051"/>
      <c r="AY73" s="2051"/>
      <c r="AZ73" s="2051"/>
      <c r="BA73" s="2051"/>
      <c r="BB73" s="2051"/>
      <c r="BC73" s="2052"/>
      <c r="BD73" s="1208"/>
      <c r="BE73" s="1215"/>
      <c r="CK73" s="1206"/>
      <c r="CL73" s="1206"/>
      <c r="CM73" s="1206"/>
      <c r="CN73" s="1206"/>
      <c r="CO73" s="1206"/>
      <c r="CP73" s="1206"/>
    </row>
    <row r="74" spans="1:94" ht="15.75" customHeight="1">
      <c r="A74" s="1208"/>
      <c r="B74" s="1995"/>
      <c r="C74" s="1996"/>
      <c r="D74" s="1996"/>
      <c r="E74" s="1996"/>
      <c r="F74" s="1996"/>
      <c r="G74" s="1996"/>
      <c r="H74" s="1996"/>
      <c r="I74" s="1996"/>
      <c r="J74" s="1996"/>
      <c r="K74" s="1996"/>
      <c r="L74" s="1996"/>
      <c r="M74" s="1996"/>
      <c r="N74" s="1996"/>
      <c r="O74" s="2041"/>
      <c r="P74" s="2041"/>
      <c r="Q74" s="2041"/>
      <c r="R74" s="2041"/>
      <c r="S74" s="2041"/>
      <c r="T74" s="2041"/>
      <c r="U74" s="2041"/>
      <c r="V74" s="2041"/>
      <c r="W74" s="2041"/>
      <c r="X74" s="2041"/>
      <c r="Y74" s="2041"/>
      <c r="Z74" s="2041"/>
      <c r="AA74" s="2157"/>
      <c r="AB74" s="1208"/>
      <c r="AC74" s="2050"/>
      <c r="AD74" s="2051"/>
      <c r="AE74" s="2051"/>
      <c r="AF74" s="2051"/>
      <c r="AG74" s="2051"/>
      <c r="AH74" s="2051"/>
      <c r="AI74" s="2051"/>
      <c r="AJ74" s="2051"/>
      <c r="AK74" s="2051"/>
      <c r="AL74" s="2051"/>
      <c r="AM74" s="2051"/>
      <c r="AN74" s="2051"/>
      <c r="AO74" s="2051"/>
      <c r="AP74" s="2051"/>
      <c r="AQ74" s="2051"/>
      <c r="AR74" s="2051"/>
      <c r="AS74" s="2051"/>
      <c r="AT74" s="2051"/>
      <c r="AU74" s="2051"/>
      <c r="AV74" s="2051"/>
      <c r="AW74" s="2051"/>
      <c r="AX74" s="2051"/>
      <c r="AY74" s="2051"/>
      <c r="AZ74" s="2051"/>
      <c r="BA74" s="2051"/>
      <c r="BB74" s="2051"/>
      <c r="BC74" s="2052"/>
      <c r="BD74" s="1208"/>
      <c r="BE74" s="1215"/>
      <c r="CK74" s="1206"/>
      <c r="CL74" s="1206"/>
      <c r="CM74" s="1206"/>
      <c r="CN74" s="1206"/>
      <c r="CO74" s="1206"/>
      <c r="CP74" s="1206"/>
    </row>
    <row r="75" spans="1:94" ht="15.75" customHeight="1" thickBot="1">
      <c r="A75" s="1208"/>
      <c r="B75" s="2162" t="s">
        <v>124</v>
      </c>
      <c r="C75" s="2163"/>
      <c r="D75" s="2163"/>
      <c r="E75" s="2163"/>
      <c r="F75" s="2163"/>
      <c r="G75" s="2163"/>
      <c r="H75" s="2163"/>
      <c r="I75" s="2163"/>
      <c r="J75" s="2163"/>
      <c r="K75" s="2163"/>
      <c r="L75" s="2163"/>
      <c r="M75" s="2163"/>
      <c r="N75" s="2163"/>
      <c r="O75" s="2164">
        <f>SUM(O70:AA74)</f>
        <v>0</v>
      </c>
      <c r="P75" s="2164"/>
      <c r="Q75" s="2164"/>
      <c r="R75" s="2164"/>
      <c r="S75" s="2164"/>
      <c r="T75" s="2164"/>
      <c r="U75" s="2164"/>
      <c r="V75" s="2164"/>
      <c r="W75" s="2164"/>
      <c r="X75" s="2164"/>
      <c r="Y75" s="2164"/>
      <c r="Z75" s="2164"/>
      <c r="AA75" s="2165"/>
      <c r="AB75" s="1208"/>
      <c r="AC75" s="2050"/>
      <c r="AD75" s="2051"/>
      <c r="AE75" s="2051"/>
      <c r="AF75" s="2051"/>
      <c r="AG75" s="2051"/>
      <c r="AH75" s="2051"/>
      <c r="AI75" s="2051"/>
      <c r="AJ75" s="2051"/>
      <c r="AK75" s="2051"/>
      <c r="AL75" s="2051"/>
      <c r="AM75" s="2051"/>
      <c r="AN75" s="2051"/>
      <c r="AO75" s="2051"/>
      <c r="AP75" s="2051"/>
      <c r="AQ75" s="2051"/>
      <c r="AR75" s="2051"/>
      <c r="AS75" s="2051"/>
      <c r="AT75" s="2051"/>
      <c r="AU75" s="2051"/>
      <c r="AV75" s="2051"/>
      <c r="AW75" s="2051"/>
      <c r="AX75" s="2051"/>
      <c r="AY75" s="2051"/>
      <c r="AZ75" s="2051"/>
      <c r="BA75" s="2051"/>
      <c r="BB75" s="2051"/>
      <c r="BC75" s="2052"/>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0"/>
      <c r="AD76" s="2051"/>
      <c r="AE76" s="2051"/>
      <c r="AF76" s="2051"/>
      <c r="AG76" s="2051"/>
      <c r="AH76" s="2051"/>
      <c r="AI76" s="2051"/>
      <c r="AJ76" s="2051"/>
      <c r="AK76" s="2051"/>
      <c r="AL76" s="2051"/>
      <c r="AM76" s="2051"/>
      <c r="AN76" s="2051"/>
      <c r="AO76" s="2051"/>
      <c r="AP76" s="2051"/>
      <c r="AQ76" s="2051"/>
      <c r="AR76" s="2051"/>
      <c r="AS76" s="2051"/>
      <c r="AT76" s="2051"/>
      <c r="AU76" s="2051"/>
      <c r="AV76" s="2051"/>
      <c r="AW76" s="2051"/>
      <c r="AX76" s="2051"/>
      <c r="AY76" s="2051"/>
      <c r="AZ76" s="2051"/>
      <c r="BA76" s="2051"/>
      <c r="BB76" s="2051"/>
      <c r="BC76" s="2052"/>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3"/>
      <c r="AD77" s="2054"/>
      <c r="AE77" s="2054"/>
      <c r="AF77" s="2054"/>
      <c r="AG77" s="2054"/>
      <c r="AH77" s="2054"/>
      <c r="AI77" s="2054"/>
      <c r="AJ77" s="2054"/>
      <c r="AK77" s="2054"/>
      <c r="AL77" s="2054"/>
      <c r="AM77" s="2054"/>
      <c r="AN77" s="2054"/>
      <c r="AO77" s="2054"/>
      <c r="AP77" s="2054"/>
      <c r="AQ77" s="2054"/>
      <c r="AR77" s="2054"/>
      <c r="AS77" s="2054"/>
      <c r="AT77" s="2054"/>
      <c r="AU77" s="2054"/>
      <c r="AV77" s="2054"/>
      <c r="AW77" s="2054"/>
      <c r="AX77" s="2054"/>
      <c r="AY77" s="2054"/>
      <c r="AZ77" s="2054"/>
      <c r="BA77" s="2054"/>
      <c r="BB77" s="2054"/>
      <c r="BC77" s="2055"/>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45"/>
      <c r="G79" s="2146"/>
      <c r="H79" s="2146"/>
      <c r="I79" s="2146"/>
      <c r="J79" s="2146"/>
      <c r="K79" s="2146"/>
      <c r="L79" s="2146"/>
      <c r="M79" s="2146"/>
      <c r="N79" s="2146"/>
      <c r="O79" s="2146"/>
      <c r="P79" s="2146"/>
      <c r="Q79" s="2146"/>
      <c r="R79" s="2146"/>
      <c r="S79" s="2146"/>
      <c r="T79" s="214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8" t="s">
        <v>2316</v>
      </c>
      <c r="C81" s="2149"/>
      <c r="D81" s="2149"/>
      <c r="E81" s="2149"/>
      <c r="F81" s="2149"/>
      <c r="G81" s="2149"/>
      <c r="H81" s="2149"/>
      <c r="I81" s="2149"/>
      <c r="J81" s="2149"/>
      <c r="K81" s="2149"/>
      <c r="L81" s="2149"/>
      <c r="M81" s="2149"/>
      <c r="N81" s="2149"/>
      <c r="O81" s="2149"/>
      <c r="P81" s="2149"/>
      <c r="Q81" s="2149"/>
      <c r="R81" s="2149"/>
      <c r="S81" s="2149"/>
      <c r="T81" s="2149"/>
      <c r="U81" s="2149"/>
      <c r="V81" s="2149"/>
      <c r="W81" s="2149"/>
      <c r="X81" s="2149"/>
      <c r="Y81" s="2149"/>
      <c r="Z81" s="2149"/>
      <c r="AA81" s="2149"/>
      <c r="AB81" s="2149"/>
      <c r="AC81" s="2149"/>
      <c r="AD81" s="2149"/>
      <c r="AE81" s="2149"/>
      <c r="AF81" s="2149"/>
      <c r="AG81" s="2149"/>
      <c r="AH81" s="2150"/>
      <c r="AI81" s="1208"/>
      <c r="AJ81" s="2132" t="s">
        <v>2618</v>
      </c>
      <c r="AK81" s="2133"/>
      <c r="AL81" s="2133"/>
      <c r="AM81" s="2133"/>
      <c r="AN81" s="2133"/>
      <c r="AO81" s="2133"/>
      <c r="AP81" s="2133"/>
      <c r="AQ81" s="2133"/>
      <c r="AR81" s="2133"/>
      <c r="AS81" s="2133"/>
      <c r="AT81" s="2133"/>
      <c r="AU81" s="2133"/>
      <c r="AV81" s="2133"/>
      <c r="AW81" s="2133"/>
      <c r="AX81" s="2133"/>
      <c r="AY81" s="2151" t="s">
        <v>545</v>
      </c>
      <c r="AZ81" s="2151"/>
      <c r="BA81" s="2151"/>
      <c r="BB81" s="2152"/>
      <c r="BC81" s="1208"/>
      <c r="BD81" s="1208"/>
      <c r="BE81" s="1215"/>
      <c r="CK81" s="1206"/>
      <c r="CL81" s="1206"/>
      <c r="CM81" s="1206"/>
      <c r="CN81" s="1206"/>
      <c r="CO81" s="1206"/>
      <c r="CP81" s="1206"/>
    </row>
    <row r="82" spans="1:94" ht="15.75" customHeight="1">
      <c r="A82" s="1208"/>
      <c r="B82" s="2113"/>
      <c r="C82" s="2107"/>
      <c r="D82" s="2107"/>
      <c r="E82" s="2107"/>
      <c r="F82" s="2107"/>
      <c r="G82" s="2107"/>
      <c r="H82" s="2107"/>
      <c r="I82" s="2107" t="s">
        <v>2310</v>
      </c>
      <c r="J82" s="2107"/>
      <c r="K82" s="2107"/>
      <c r="L82" s="2107"/>
      <c r="M82" s="2107"/>
      <c r="N82" s="2107"/>
      <c r="O82" s="2107" t="s">
        <v>2287</v>
      </c>
      <c r="P82" s="2107"/>
      <c r="Q82" s="2107"/>
      <c r="R82" s="2107"/>
      <c r="S82" s="2107"/>
      <c r="T82" s="2107"/>
      <c r="U82" s="2107"/>
      <c r="V82" s="2143" t="s">
        <v>2286</v>
      </c>
      <c r="W82" s="2143"/>
      <c r="X82" s="2143"/>
      <c r="Y82" s="2143"/>
      <c r="Z82" s="2143"/>
      <c r="AA82" s="2143"/>
      <c r="AB82" s="2080" t="s">
        <v>2309</v>
      </c>
      <c r="AC82" s="2080"/>
      <c r="AD82" s="2080"/>
      <c r="AE82" s="2080"/>
      <c r="AF82" s="2080"/>
      <c r="AG82" s="2080"/>
      <c r="AH82" s="2144"/>
      <c r="AI82" s="1208"/>
      <c r="AJ82" s="2135"/>
      <c r="AK82" s="2136"/>
      <c r="AL82" s="2136"/>
      <c r="AM82" s="2136"/>
      <c r="AN82" s="2136"/>
      <c r="AO82" s="2136"/>
      <c r="AP82" s="2136"/>
      <c r="AQ82" s="2136"/>
      <c r="AR82" s="2136"/>
      <c r="AS82" s="2136"/>
      <c r="AT82" s="2136"/>
      <c r="AU82" s="2136"/>
      <c r="AV82" s="2136"/>
      <c r="AW82" s="2136"/>
      <c r="AX82" s="2136"/>
      <c r="AY82" s="2153"/>
      <c r="AZ82" s="2153"/>
      <c r="BA82" s="2153"/>
      <c r="BB82" s="2154"/>
      <c r="BC82" s="1208"/>
      <c r="BD82" s="1208"/>
      <c r="BE82" s="1215"/>
      <c r="CK82" s="1206"/>
      <c r="CL82" s="1206"/>
      <c r="CM82" s="1206"/>
      <c r="CN82" s="1206"/>
      <c r="CO82" s="1206"/>
      <c r="CP82" s="1206"/>
    </row>
    <row r="83" spans="1:94" ht="15.75" customHeight="1">
      <c r="A83" s="1208"/>
      <c r="B83" s="2113"/>
      <c r="C83" s="2107"/>
      <c r="D83" s="2107"/>
      <c r="E83" s="2107"/>
      <c r="F83" s="2107"/>
      <c r="G83" s="2107"/>
      <c r="H83" s="2107"/>
      <c r="I83" s="2107"/>
      <c r="J83" s="2107"/>
      <c r="K83" s="2107"/>
      <c r="L83" s="2107"/>
      <c r="M83" s="2107"/>
      <c r="N83" s="2107"/>
      <c r="O83" s="2107"/>
      <c r="P83" s="2107"/>
      <c r="Q83" s="2107"/>
      <c r="R83" s="2107"/>
      <c r="S83" s="2107"/>
      <c r="T83" s="2107"/>
      <c r="U83" s="2107"/>
      <c r="V83" s="2143"/>
      <c r="W83" s="2143"/>
      <c r="X83" s="2143"/>
      <c r="Y83" s="2143"/>
      <c r="Z83" s="2143"/>
      <c r="AA83" s="2143"/>
      <c r="AB83" s="2080"/>
      <c r="AC83" s="2080"/>
      <c r="AD83" s="2080"/>
      <c r="AE83" s="2080"/>
      <c r="AF83" s="2080"/>
      <c r="AG83" s="2080"/>
      <c r="AH83" s="2144"/>
      <c r="AI83" s="1208"/>
      <c r="AJ83" s="2135"/>
      <c r="AK83" s="2136"/>
      <c r="AL83" s="2136"/>
      <c r="AM83" s="2136"/>
      <c r="AN83" s="2136"/>
      <c r="AO83" s="2136"/>
      <c r="AP83" s="2136"/>
      <c r="AQ83" s="2136"/>
      <c r="AR83" s="2136"/>
      <c r="AS83" s="2136"/>
      <c r="AT83" s="2136"/>
      <c r="AU83" s="2136"/>
      <c r="AV83" s="2136"/>
      <c r="AW83" s="2136"/>
      <c r="AX83" s="2136"/>
      <c r="AY83" s="2153"/>
      <c r="AZ83" s="2153"/>
      <c r="BA83" s="2153"/>
      <c r="BB83" s="2154"/>
      <c r="BC83" s="1208"/>
      <c r="BD83" s="1208"/>
      <c r="BE83" s="1215"/>
      <c r="CK83" s="1206"/>
      <c r="CL83" s="1206"/>
      <c r="CM83" s="1206"/>
      <c r="CN83" s="1206"/>
      <c r="CO83" s="1206"/>
      <c r="CP83" s="1206"/>
    </row>
    <row r="84" spans="1:94" ht="15.75" customHeight="1">
      <c r="A84" s="1208"/>
      <c r="B84" s="2113" t="s">
        <v>2308</v>
      </c>
      <c r="C84" s="2107"/>
      <c r="D84" s="2107"/>
      <c r="E84" s="2107"/>
      <c r="F84" s="2107"/>
      <c r="G84" s="2107"/>
      <c r="H84" s="2107"/>
      <c r="I84" s="2083">
        <v>0</v>
      </c>
      <c r="J84" s="2083"/>
      <c r="K84" s="2083"/>
      <c r="L84" s="2083"/>
      <c r="M84" s="2083"/>
      <c r="N84" s="2083"/>
      <c r="O84" s="2083">
        <v>0</v>
      </c>
      <c r="P84" s="2083"/>
      <c r="Q84" s="2083"/>
      <c r="R84" s="2083"/>
      <c r="S84" s="2083"/>
      <c r="T84" s="2083"/>
      <c r="U84" s="2083"/>
      <c r="V84" s="2083">
        <v>0</v>
      </c>
      <c r="W84" s="2083"/>
      <c r="X84" s="2083"/>
      <c r="Y84" s="2083"/>
      <c r="Z84" s="2083"/>
      <c r="AA84" s="2083"/>
      <c r="AB84" s="2083">
        <v>0</v>
      </c>
      <c r="AC84" s="2083"/>
      <c r="AD84" s="2083"/>
      <c r="AE84" s="2083"/>
      <c r="AF84" s="2083"/>
      <c r="AG84" s="2083"/>
      <c r="AH84" s="2084"/>
      <c r="AI84" s="1208"/>
      <c r="AJ84" s="2135"/>
      <c r="AK84" s="2136"/>
      <c r="AL84" s="2136"/>
      <c r="AM84" s="2136"/>
      <c r="AN84" s="2136"/>
      <c r="AO84" s="2136"/>
      <c r="AP84" s="2136"/>
      <c r="AQ84" s="2136"/>
      <c r="AR84" s="2136"/>
      <c r="AS84" s="2136"/>
      <c r="AT84" s="2136"/>
      <c r="AU84" s="2136"/>
      <c r="AV84" s="2136"/>
      <c r="AW84" s="2136"/>
      <c r="AX84" s="2136"/>
      <c r="AY84" s="2153"/>
      <c r="AZ84" s="2153"/>
      <c r="BA84" s="2153"/>
      <c r="BB84" s="2154"/>
      <c r="BC84" s="1208"/>
      <c r="BD84" s="1208"/>
      <c r="BE84" s="1215"/>
      <c r="CK84" s="1206"/>
      <c r="CL84" s="1206"/>
      <c r="CM84" s="1206"/>
      <c r="CN84" s="1206"/>
      <c r="CO84" s="1206"/>
      <c r="CP84" s="1206"/>
    </row>
    <row r="85" spans="1:94" ht="15.75" customHeight="1">
      <c r="A85" s="1208"/>
      <c r="B85" s="2113" t="s">
        <v>2307</v>
      </c>
      <c r="C85" s="2107"/>
      <c r="D85" s="2107"/>
      <c r="E85" s="2107"/>
      <c r="F85" s="2107"/>
      <c r="G85" s="2107"/>
      <c r="H85" s="2107"/>
      <c r="I85" s="2083">
        <v>0</v>
      </c>
      <c r="J85" s="2083"/>
      <c r="K85" s="2083"/>
      <c r="L85" s="2083"/>
      <c r="M85" s="2083"/>
      <c r="N85" s="2083"/>
      <c r="O85" s="2083">
        <v>0</v>
      </c>
      <c r="P85" s="2083"/>
      <c r="Q85" s="2083"/>
      <c r="R85" s="2083"/>
      <c r="S85" s="2083"/>
      <c r="T85" s="2083"/>
      <c r="U85" s="2083"/>
      <c r="V85" s="2083">
        <v>0</v>
      </c>
      <c r="W85" s="2083"/>
      <c r="X85" s="2083"/>
      <c r="Y85" s="2083"/>
      <c r="Z85" s="2083"/>
      <c r="AA85" s="2083"/>
      <c r="AB85" s="2083">
        <v>0</v>
      </c>
      <c r="AC85" s="2083"/>
      <c r="AD85" s="2083"/>
      <c r="AE85" s="2083"/>
      <c r="AF85" s="2083"/>
      <c r="AG85" s="2083"/>
      <c r="AH85" s="2084"/>
      <c r="AI85" s="1208"/>
      <c r="AJ85" s="2050" t="s">
        <v>2313</v>
      </c>
      <c r="AK85" s="2051"/>
      <c r="AL85" s="2051"/>
      <c r="AM85" s="2051"/>
      <c r="AN85" s="2051"/>
      <c r="AO85" s="2051"/>
      <c r="AP85" s="2051"/>
      <c r="AQ85" s="2051"/>
      <c r="AR85" s="2051"/>
      <c r="AS85" s="2051"/>
      <c r="AT85" s="2051"/>
      <c r="AU85" s="2051"/>
      <c r="AV85" s="2051"/>
      <c r="AW85" s="2051"/>
      <c r="AX85" s="2051"/>
      <c r="AY85" s="2051"/>
      <c r="AZ85" s="2051"/>
      <c r="BA85" s="2051"/>
      <c r="BB85" s="2052"/>
      <c r="BC85" s="1208"/>
      <c r="BD85" s="1208"/>
      <c r="BE85" s="1215"/>
      <c r="CK85" s="1206"/>
      <c r="CL85" s="1206"/>
      <c r="CM85" s="1206"/>
      <c r="CN85" s="1206"/>
      <c r="CO85" s="1206"/>
      <c r="CP85" s="1206"/>
    </row>
    <row r="86" spans="1:94" ht="15.75" customHeight="1" thickBot="1">
      <c r="A86" s="1208"/>
      <c r="B86" s="2141" t="s">
        <v>2306</v>
      </c>
      <c r="C86" s="2142"/>
      <c r="D86" s="2142"/>
      <c r="E86" s="2142"/>
      <c r="F86" s="2142"/>
      <c r="G86" s="2142"/>
      <c r="H86" s="2142"/>
      <c r="I86" s="2077">
        <v>0</v>
      </c>
      <c r="J86" s="2077"/>
      <c r="K86" s="2077"/>
      <c r="L86" s="2077"/>
      <c r="M86" s="2077"/>
      <c r="N86" s="2077"/>
      <c r="O86" s="2077">
        <v>0</v>
      </c>
      <c r="P86" s="2077"/>
      <c r="Q86" s="2077"/>
      <c r="R86" s="2077"/>
      <c r="S86" s="2077"/>
      <c r="T86" s="2077"/>
      <c r="U86" s="2077"/>
      <c r="V86" s="2077">
        <v>0</v>
      </c>
      <c r="W86" s="2077"/>
      <c r="X86" s="2077"/>
      <c r="Y86" s="2077"/>
      <c r="Z86" s="2077"/>
      <c r="AA86" s="2077"/>
      <c r="AB86" s="2077">
        <v>0</v>
      </c>
      <c r="AC86" s="2077"/>
      <c r="AD86" s="2077"/>
      <c r="AE86" s="2077"/>
      <c r="AF86" s="2077"/>
      <c r="AG86" s="2077"/>
      <c r="AH86" s="2078"/>
      <c r="AI86" s="1208"/>
      <c r="AJ86" s="2053"/>
      <c r="AK86" s="2054"/>
      <c r="AL86" s="2054"/>
      <c r="AM86" s="2054"/>
      <c r="AN86" s="2054"/>
      <c r="AO86" s="2054"/>
      <c r="AP86" s="2054"/>
      <c r="AQ86" s="2054"/>
      <c r="AR86" s="2054"/>
      <c r="AS86" s="2054"/>
      <c r="AT86" s="2054"/>
      <c r="AU86" s="2054"/>
      <c r="AV86" s="2054"/>
      <c r="AW86" s="2054"/>
      <c r="AX86" s="2054"/>
      <c r="AY86" s="2054"/>
      <c r="AZ86" s="2054"/>
      <c r="BA86" s="2054"/>
      <c r="BB86" s="2055"/>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5"/>
      <c r="G90" s="2146"/>
      <c r="H90" s="2146"/>
      <c r="I90" s="2146"/>
      <c r="J90" s="2146"/>
      <c r="K90" s="2146"/>
      <c r="L90" s="2146"/>
      <c r="M90" s="2146"/>
      <c r="N90" s="2146"/>
      <c r="O90" s="2146"/>
      <c r="P90" s="2146"/>
      <c r="Q90" s="2146"/>
      <c r="R90" s="2146"/>
      <c r="S90" s="2146"/>
      <c r="T90" s="214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8" t="s">
        <v>2314</v>
      </c>
      <c r="C92" s="2149"/>
      <c r="D92" s="2149"/>
      <c r="E92" s="2149"/>
      <c r="F92" s="2149"/>
      <c r="G92" s="2149"/>
      <c r="H92" s="2149"/>
      <c r="I92" s="2149"/>
      <c r="J92" s="2149"/>
      <c r="K92" s="2149"/>
      <c r="L92" s="2149"/>
      <c r="M92" s="2149"/>
      <c r="N92" s="2149"/>
      <c r="O92" s="2149"/>
      <c r="P92" s="2149"/>
      <c r="Q92" s="2149"/>
      <c r="R92" s="2149"/>
      <c r="S92" s="2149"/>
      <c r="T92" s="2149"/>
      <c r="U92" s="2149"/>
      <c r="V92" s="2149"/>
      <c r="W92" s="2149"/>
      <c r="X92" s="2149"/>
      <c r="Y92" s="2149"/>
      <c r="Z92" s="2149"/>
      <c r="AA92" s="2149"/>
      <c r="AB92" s="2149"/>
      <c r="AC92" s="2149"/>
      <c r="AD92" s="2149"/>
      <c r="AE92" s="2149"/>
      <c r="AF92" s="2149"/>
      <c r="AG92" s="2149"/>
      <c r="AH92" s="2150"/>
      <c r="AI92" s="1208"/>
      <c r="AJ92" s="2132" t="s">
        <v>2619</v>
      </c>
      <c r="AK92" s="2133"/>
      <c r="AL92" s="2133"/>
      <c r="AM92" s="2133"/>
      <c r="AN92" s="2133"/>
      <c r="AO92" s="2133"/>
      <c r="AP92" s="2133"/>
      <c r="AQ92" s="2133"/>
      <c r="AR92" s="2133"/>
      <c r="AS92" s="2133"/>
      <c r="AT92" s="2133"/>
      <c r="AU92" s="2133"/>
      <c r="AV92" s="2133"/>
      <c r="AW92" s="2133"/>
      <c r="AX92" s="2133"/>
      <c r="AY92" s="2151" t="s">
        <v>545</v>
      </c>
      <c r="AZ92" s="2151"/>
      <c r="BA92" s="2151"/>
      <c r="BB92" s="2152"/>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3"/>
      <c r="C93" s="2107"/>
      <c r="D93" s="2107"/>
      <c r="E93" s="2107"/>
      <c r="F93" s="2107"/>
      <c r="G93" s="2107"/>
      <c r="H93" s="2107"/>
      <c r="I93" s="2107" t="s">
        <v>2310</v>
      </c>
      <c r="J93" s="2107"/>
      <c r="K93" s="2107"/>
      <c r="L93" s="2107"/>
      <c r="M93" s="2107"/>
      <c r="N93" s="2107"/>
      <c r="O93" s="2107" t="s">
        <v>2287</v>
      </c>
      <c r="P93" s="2107"/>
      <c r="Q93" s="2107"/>
      <c r="R93" s="2107"/>
      <c r="S93" s="2107"/>
      <c r="T93" s="2107"/>
      <c r="U93" s="2107"/>
      <c r="V93" s="2143" t="s">
        <v>2286</v>
      </c>
      <c r="W93" s="2143"/>
      <c r="X93" s="2143"/>
      <c r="Y93" s="2143"/>
      <c r="Z93" s="2143"/>
      <c r="AA93" s="2143"/>
      <c r="AB93" s="2080" t="s">
        <v>2309</v>
      </c>
      <c r="AC93" s="2080"/>
      <c r="AD93" s="2080"/>
      <c r="AE93" s="2080"/>
      <c r="AF93" s="2080"/>
      <c r="AG93" s="2080"/>
      <c r="AH93" s="2144"/>
      <c r="AI93" s="1208"/>
      <c r="AJ93" s="2135"/>
      <c r="AK93" s="2136"/>
      <c r="AL93" s="2136"/>
      <c r="AM93" s="2136"/>
      <c r="AN93" s="2136"/>
      <c r="AO93" s="2136"/>
      <c r="AP93" s="2136"/>
      <c r="AQ93" s="2136"/>
      <c r="AR93" s="2136"/>
      <c r="AS93" s="2136"/>
      <c r="AT93" s="2136"/>
      <c r="AU93" s="2136"/>
      <c r="AV93" s="2136"/>
      <c r="AW93" s="2136"/>
      <c r="AX93" s="2136"/>
      <c r="AY93" s="2153"/>
      <c r="AZ93" s="2153"/>
      <c r="BA93" s="2153"/>
      <c r="BB93" s="2154"/>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3"/>
      <c r="C94" s="2107"/>
      <c r="D94" s="2107"/>
      <c r="E94" s="2107"/>
      <c r="F94" s="2107"/>
      <c r="G94" s="2107"/>
      <c r="H94" s="2107"/>
      <c r="I94" s="2107"/>
      <c r="J94" s="2107"/>
      <c r="K94" s="2107"/>
      <c r="L94" s="2107"/>
      <c r="M94" s="2107"/>
      <c r="N94" s="2107"/>
      <c r="O94" s="2107"/>
      <c r="P94" s="2107"/>
      <c r="Q94" s="2107"/>
      <c r="R94" s="2107"/>
      <c r="S94" s="2107"/>
      <c r="T94" s="2107"/>
      <c r="U94" s="2107"/>
      <c r="V94" s="2143"/>
      <c r="W94" s="2143"/>
      <c r="X94" s="2143"/>
      <c r="Y94" s="2143"/>
      <c r="Z94" s="2143"/>
      <c r="AA94" s="2143"/>
      <c r="AB94" s="2080"/>
      <c r="AC94" s="2080"/>
      <c r="AD94" s="2080"/>
      <c r="AE94" s="2080"/>
      <c r="AF94" s="2080"/>
      <c r="AG94" s="2080"/>
      <c r="AH94" s="2144"/>
      <c r="AI94" s="1208"/>
      <c r="AJ94" s="2135"/>
      <c r="AK94" s="2136"/>
      <c r="AL94" s="2136"/>
      <c r="AM94" s="2136"/>
      <c r="AN94" s="2136"/>
      <c r="AO94" s="2136"/>
      <c r="AP94" s="2136"/>
      <c r="AQ94" s="2136"/>
      <c r="AR94" s="2136"/>
      <c r="AS94" s="2136"/>
      <c r="AT94" s="2136"/>
      <c r="AU94" s="2136"/>
      <c r="AV94" s="2136"/>
      <c r="AW94" s="2136"/>
      <c r="AX94" s="2136"/>
      <c r="AY94" s="2153"/>
      <c r="AZ94" s="2153"/>
      <c r="BA94" s="2153"/>
      <c r="BB94" s="2154"/>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3" t="s">
        <v>2308</v>
      </c>
      <c r="C95" s="2107"/>
      <c r="D95" s="2107"/>
      <c r="E95" s="2107"/>
      <c r="F95" s="2107"/>
      <c r="G95" s="2107"/>
      <c r="H95" s="2107"/>
      <c r="I95" s="2083">
        <v>0</v>
      </c>
      <c r="J95" s="2083"/>
      <c r="K95" s="2083"/>
      <c r="L95" s="2083"/>
      <c r="M95" s="2083"/>
      <c r="N95" s="2083"/>
      <c r="O95" s="2083">
        <v>0</v>
      </c>
      <c r="P95" s="2083"/>
      <c r="Q95" s="2083"/>
      <c r="R95" s="2083"/>
      <c r="S95" s="2083"/>
      <c r="T95" s="2083"/>
      <c r="U95" s="2083"/>
      <c r="V95" s="2083">
        <v>0</v>
      </c>
      <c r="W95" s="2083"/>
      <c r="X95" s="2083"/>
      <c r="Y95" s="2083"/>
      <c r="Z95" s="2083"/>
      <c r="AA95" s="2083"/>
      <c r="AB95" s="2083">
        <v>0</v>
      </c>
      <c r="AC95" s="2083"/>
      <c r="AD95" s="2083"/>
      <c r="AE95" s="2083"/>
      <c r="AF95" s="2083"/>
      <c r="AG95" s="2083"/>
      <c r="AH95" s="2084"/>
      <c r="AI95" s="1208"/>
      <c r="AJ95" s="2135"/>
      <c r="AK95" s="2136"/>
      <c r="AL95" s="2136"/>
      <c r="AM95" s="2136"/>
      <c r="AN95" s="2136"/>
      <c r="AO95" s="2136"/>
      <c r="AP95" s="2136"/>
      <c r="AQ95" s="2136"/>
      <c r="AR95" s="2136"/>
      <c r="AS95" s="2136"/>
      <c r="AT95" s="2136"/>
      <c r="AU95" s="2136"/>
      <c r="AV95" s="2136"/>
      <c r="AW95" s="2136"/>
      <c r="AX95" s="2136"/>
      <c r="AY95" s="2153"/>
      <c r="AZ95" s="2153"/>
      <c r="BA95" s="2153"/>
      <c r="BB95" s="2154"/>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3" t="s">
        <v>2307</v>
      </c>
      <c r="C96" s="2107"/>
      <c r="D96" s="2107"/>
      <c r="E96" s="2107"/>
      <c r="F96" s="2107"/>
      <c r="G96" s="2107"/>
      <c r="H96" s="2107"/>
      <c r="I96" s="2083">
        <v>0</v>
      </c>
      <c r="J96" s="2083"/>
      <c r="K96" s="2083"/>
      <c r="L96" s="2083"/>
      <c r="M96" s="2083"/>
      <c r="N96" s="2083"/>
      <c r="O96" s="2083">
        <v>0</v>
      </c>
      <c r="P96" s="2083"/>
      <c r="Q96" s="2083"/>
      <c r="R96" s="2083"/>
      <c r="S96" s="2083"/>
      <c r="T96" s="2083"/>
      <c r="U96" s="2083"/>
      <c r="V96" s="2083">
        <v>0</v>
      </c>
      <c r="W96" s="2083"/>
      <c r="X96" s="2083"/>
      <c r="Y96" s="2083"/>
      <c r="Z96" s="2083"/>
      <c r="AA96" s="2083"/>
      <c r="AB96" s="2083">
        <v>0</v>
      </c>
      <c r="AC96" s="2083"/>
      <c r="AD96" s="2083"/>
      <c r="AE96" s="2083"/>
      <c r="AF96" s="2083"/>
      <c r="AG96" s="2083"/>
      <c r="AH96" s="2084"/>
      <c r="AI96" s="1208"/>
      <c r="AJ96" s="2050" t="s">
        <v>2313</v>
      </c>
      <c r="AK96" s="2051"/>
      <c r="AL96" s="2051"/>
      <c r="AM96" s="2051"/>
      <c r="AN96" s="2051"/>
      <c r="AO96" s="2051"/>
      <c r="AP96" s="2051"/>
      <c r="AQ96" s="2051"/>
      <c r="AR96" s="2051"/>
      <c r="AS96" s="2051"/>
      <c r="AT96" s="2051"/>
      <c r="AU96" s="2051"/>
      <c r="AV96" s="2051"/>
      <c r="AW96" s="2051"/>
      <c r="AX96" s="2051"/>
      <c r="AY96" s="2051"/>
      <c r="AZ96" s="2051"/>
      <c r="BA96" s="2051"/>
      <c r="BB96" s="2052"/>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1" t="s">
        <v>2306</v>
      </c>
      <c r="C97" s="2142"/>
      <c r="D97" s="2142"/>
      <c r="E97" s="2142"/>
      <c r="F97" s="2142"/>
      <c r="G97" s="2142"/>
      <c r="H97" s="2142"/>
      <c r="I97" s="2077">
        <v>0</v>
      </c>
      <c r="J97" s="2077"/>
      <c r="K97" s="2077"/>
      <c r="L97" s="2077"/>
      <c r="M97" s="2077"/>
      <c r="N97" s="2077"/>
      <c r="O97" s="2077">
        <v>0</v>
      </c>
      <c r="P97" s="2077"/>
      <c r="Q97" s="2077"/>
      <c r="R97" s="2077"/>
      <c r="S97" s="2077"/>
      <c r="T97" s="2077"/>
      <c r="U97" s="2077"/>
      <c r="V97" s="2077">
        <v>0</v>
      </c>
      <c r="W97" s="2077"/>
      <c r="X97" s="2077"/>
      <c r="Y97" s="2077"/>
      <c r="Z97" s="2077"/>
      <c r="AA97" s="2077"/>
      <c r="AB97" s="2077">
        <v>0</v>
      </c>
      <c r="AC97" s="2077"/>
      <c r="AD97" s="2077"/>
      <c r="AE97" s="2077"/>
      <c r="AF97" s="2077"/>
      <c r="AG97" s="2077"/>
      <c r="AH97" s="2078"/>
      <c r="AI97" s="1208"/>
      <c r="AJ97" s="2053"/>
      <c r="AK97" s="2054"/>
      <c r="AL97" s="2054"/>
      <c r="AM97" s="2054"/>
      <c r="AN97" s="2054"/>
      <c r="AO97" s="2054"/>
      <c r="AP97" s="2054"/>
      <c r="AQ97" s="2054"/>
      <c r="AR97" s="2054"/>
      <c r="AS97" s="2054"/>
      <c r="AT97" s="2054"/>
      <c r="AU97" s="2054"/>
      <c r="AV97" s="2054"/>
      <c r="AW97" s="2054"/>
      <c r="AX97" s="2054"/>
      <c r="AY97" s="2054"/>
      <c r="AZ97" s="2054"/>
      <c r="BA97" s="2054"/>
      <c r="BB97" s="2055"/>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4"/>
      <c r="G100" s="2105"/>
      <c r="H100" s="2105"/>
      <c r="I100" s="2105"/>
      <c r="J100" s="2105"/>
      <c r="K100" s="2105"/>
      <c r="L100" s="2105"/>
      <c r="M100" s="2105"/>
      <c r="N100" s="2105"/>
      <c r="O100" s="2105"/>
      <c r="P100" s="2105"/>
      <c r="Q100" s="2105"/>
      <c r="R100" s="2106"/>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3" t="s">
        <v>2311</v>
      </c>
      <c r="C102" s="2034"/>
      <c r="D102" s="2034"/>
      <c r="E102" s="2034"/>
      <c r="F102" s="2034"/>
      <c r="G102" s="2034"/>
      <c r="H102" s="2034"/>
      <c r="I102" s="2034"/>
      <c r="J102" s="2034"/>
      <c r="K102" s="2034"/>
      <c r="L102" s="2034"/>
      <c r="M102" s="2034"/>
      <c r="N102" s="2034"/>
      <c r="O102" s="2034"/>
      <c r="P102" s="2034"/>
      <c r="Q102" s="2034"/>
      <c r="R102" s="2034"/>
      <c r="S102" s="2034"/>
      <c r="T102" s="2034"/>
      <c r="U102" s="2034"/>
      <c r="V102" s="2034"/>
      <c r="W102" s="2034"/>
      <c r="X102" s="2034"/>
      <c r="Y102" s="2034"/>
      <c r="Z102" s="2034"/>
      <c r="AA102" s="2034"/>
      <c r="AB102" s="2034"/>
      <c r="AC102" s="2034"/>
      <c r="AD102" s="2034"/>
      <c r="AE102" s="2034"/>
      <c r="AF102" s="2034"/>
      <c r="AG102" s="2034"/>
      <c r="AH102" s="2043"/>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3"/>
      <c r="C103" s="2107"/>
      <c r="D103" s="2107"/>
      <c r="E103" s="2107"/>
      <c r="F103" s="2107"/>
      <c r="G103" s="2107"/>
      <c r="H103" s="2107"/>
      <c r="I103" s="2107" t="s">
        <v>2310</v>
      </c>
      <c r="J103" s="2107"/>
      <c r="K103" s="2107"/>
      <c r="L103" s="2107"/>
      <c r="M103" s="2107"/>
      <c r="N103" s="2107"/>
      <c r="O103" s="2107" t="s">
        <v>2287</v>
      </c>
      <c r="P103" s="2107"/>
      <c r="Q103" s="2107"/>
      <c r="R103" s="2107"/>
      <c r="S103" s="2107"/>
      <c r="T103" s="2107"/>
      <c r="U103" s="2107"/>
      <c r="V103" s="2143" t="s">
        <v>2286</v>
      </c>
      <c r="W103" s="2143"/>
      <c r="X103" s="2143"/>
      <c r="Y103" s="2143"/>
      <c r="Z103" s="2143"/>
      <c r="AA103" s="2143"/>
      <c r="AB103" s="2080" t="s">
        <v>2309</v>
      </c>
      <c r="AC103" s="2080"/>
      <c r="AD103" s="2080"/>
      <c r="AE103" s="2080"/>
      <c r="AF103" s="2080"/>
      <c r="AG103" s="2080"/>
      <c r="AH103" s="2144"/>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3"/>
      <c r="C104" s="2107"/>
      <c r="D104" s="2107"/>
      <c r="E104" s="2107"/>
      <c r="F104" s="2107"/>
      <c r="G104" s="2107"/>
      <c r="H104" s="2107"/>
      <c r="I104" s="2107"/>
      <c r="J104" s="2107"/>
      <c r="K104" s="2107"/>
      <c r="L104" s="2107"/>
      <c r="M104" s="2107"/>
      <c r="N104" s="2107"/>
      <c r="O104" s="2107"/>
      <c r="P104" s="2107"/>
      <c r="Q104" s="2107"/>
      <c r="R104" s="2107"/>
      <c r="S104" s="2107"/>
      <c r="T104" s="2107"/>
      <c r="U104" s="2107"/>
      <c r="V104" s="2143"/>
      <c r="W104" s="2143"/>
      <c r="X104" s="2143"/>
      <c r="Y104" s="2143"/>
      <c r="Z104" s="2143"/>
      <c r="AA104" s="2143"/>
      <c r="AB104" s="2080"/>
      <c r="AC104" s="2080"/>
      <c r="AD104" s="2080"/>
      <c r="AE104" s="2080"/>
      <c r="AF104" s="2080"/>
      <c r="AG104" s="2080"/>
      <c r="AH104" s="2144"/>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3" t="s">
        <v>2308</v>
      </c>
      <c r="C105" s="2107"/>
      <c r="D105" s="2107"/>
      <c r="E105" s="2107"/>
      <c r="F105" s="2107"/>
      <c r="G105" s="2107"/>
      <c r="H105" s="2107"/>
      <c r="I105" s="2083">
        <v>0</v>
      </c>
      <c r="J105" s="2083"/>
      <c r="K105" s="2083"/>
      <c r="L105" s="2083"/>
      <c r="M105" s="2083"/>
      <c r="N105" s="2083"/>
      <c r="O105" s="2083">
        <v>0</v>
      </c>
      <c r="P105" s="2083"/>
      <c r="Q105" s="2083"/>
      <c r="R105" s="2083"/>
      <c r="S105" s="2083"/>
      <c r="T105" s="2083"/>
      <c r="U105" s="2083"/>
      <c r="V105" s="2083">
        <v>0</v>
      </c>
      <c r="W105" s="2083"/>
      <c r="X105" s="2083"/>
      <c r="Y105" s="2083"/>
      <c r="Z105" s="2083"/>
      <c r="AA105" s="2083"/>
      <c r="AB105" s="2083">
        <v>0</v>
      </c>
      <c r="AC105" s="2083"/>
      <c r="AD105" s="2083"/>
      <c r="AE105" s="2083"/>
      <c r="AF105" s="2083"/>
      <c r="AG105" s="2083"/>
      <c r="AH105" s="2084"/>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3" t="s">
        <v>2307</v>
      </c>
      <c r="C106" s="2107"/>
      <c r="D106" s="2107"/>
      <c r="E106" s="2107"/>
      <c r="F106" s="2107"/>
      <c r="G106" s="2107"/>
      <c r="H106" s="2107"/>
      <c r="I106" s="2083">
        <v>0</v>
      </c>
      <c r="J106" s="2083"/>
      <c r="K106" s="2083"/>
      <c r="L106" s="2083"/>
      <c r="M106" s="2083"/>
      <c r="N106" s="2083"/>
      <c r="O106" s="2083">
        <v>0</v>
      </c>
      <c r="P106" s="2083"/>
      <c r="Q106" s="2083"/>
      <c r="R106" s="2083"/>
      <c r="S106" s="2083"/>
      <c r="T106" s="2083"/>
      <c r="U106" s="2083"/>
      <c r="V106" s="2083">
        <v>0</v>
      </c>
      <c r="W106" s="2083"/>
      <c r="X106" s="2083"/>
      <c r="Y106" s="2083"/>
      <c r="Z106" s="2083"/>
      <c r="AA106" s="2083"/>
      <c r="AB106" s="2083">
        <v>0</v>
      </c>
      <c r="AC106" s="2083"/>
      <c r="AD106" s="2083"/>
      <c r="AE106" s="2083"/>
      <c r="AF106" s="2083"/>
      <c r="AG106" s="2083"/>
      <c r="AH106" s="2084"/>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1" t="s">
        <v>2306</v>
      </c>
      <c r="C107" s="2142"/>
      <c r="D107" s="2142"/>
      <c r="E107" s="2142"/>
      <c r="F107" s="2142"/>
      <c r="G107" s="2142"/>
      <c r="H107" s="2142"/>
      <c r="I107" s="2077">
        <v>0</v>
      </c>
      <c r="J107" s="2077"/>
      <c r="K107" s="2077"/>
      <c r="L107" s="2077"/>
      <c r="M107" s="2077"/>
      <c r="N107" s="2077"/>
      <c r="O107" s="2077">
        <v>0</v>
      </c>
      <c r="P107" s="2077"/>
      <c r="Q107" s="2077"/>
      <c r="R107" s="2077"/>
      <c r="S107" s="2077"/>
      <c r="T107" s="2077"/>
      <c r="U107" s="2077"/>
      <c r="V107" s="2077">
        <v>0</v>
      </c>
      <c r="W107" s="2077"/>
      <c r="X107" s="2077"/>
      <c r="Y107" s="2077"/>
      <c r="Z107" s="2077"/>
      <c r="AA107" s="2077"/>
      <c r="AB107" s="2077">
        <v>0</v>
      </c>
      <c r="AC107" s="2077"/>
      <c r="AD107" s="2077"/>
      <c r="AE107" s="2077"/>
      <c r="AF107" s="2077"/>
      <c r="AG107" s="2077"/>
      <c r="AH107" s="207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4"/>
      <c r="G110" s="2105"/>
      <c r="H110" s="2105"/>
      <c r="I110" s="2105"/>
      <c r="J110" s="2105"/>
      <c r="K110" s="2105"/>
      <c r="L110" s="2105"/>
      <c r="M110" s="2105"/>
      <c r="N110" s="2105"/>
      <c r="O110" s="2105"/>
      <c r="P110" s="2105"/>
      <c r="Q110" s="2105"/>
      <c r="R110" s="2106"/>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4" t="s">
        <v>2620</v>
      </c>
      <c r="C112" s="2115"/>
      <c r="D112" s="2115"/>
      <c r="E112" s="2115"/>
      <c r="F112" s="2115"/>
      <c r="G112" s="2115"/>
      <c r="H112" s="2115"/>
      <c r="I112" s="2115"/>
      <c r="J112" s="2115"/>
      <c r="K112" s="2115"/>
      <c r="L112" s="2115"/>
      <c r="M112" s="2115"/>
      <c r="N112" s="2115"/>
      <c r="O112" s="2115"/>
      <c r="P112" s="2115"/>
      <c r="Q112" s="2115"/>
      <c r="R112" s="2115"/>
      <c r="S112" s="2115"/>
      <c r="T112" s="2115"/>
      <c r="U112" s="2118" t="s">
        <v>545</v>
      </c>
      <c r="V112" s="2118"/>
      <c r="W112" s="2118"/>
      <c r="X112" s="2119"/>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6"/>
      <c r="C113" s="2117"/>
      <c r="D113" s="2117"/>
      <c r="E113" s="2117"/>
      <c r="F113" s="2117"/>
      <c r="G113" s="2117"/>
      <c r="H113" s="2117"/>
      <c r="I113" s="2117"/>
      <c r="J113" s="2117"/>
      <c r="K113" s="2117"/>
      <c r="L113" s="2117"/>
      <c r="M113" s="2117"/>
      <c r="N113" s="2117"/>
      <c r="O113" s="2117"/>
      <c r="P113" s="2117"/>
      <c r="Q113" s="2117"/>
      <c r="R113" s="2117"/>
      <c r="S113" s="2117"/>
      <c r="T113" s="2117"/>
      <c r="U113" s="2120"/>
      <c r="V113" s="2120"/>
      <c r="W113" s="2120"/>
      <c r="X113" s="2121"/>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6"/>
      <c r="C114" s="2117"/>
      <c r="D114" s="2117"/>
      <c r="E114" s="2117"/>
      <c r="F114" s="2117"/>
      <c r="G114" s="2117"/>
      <c r="H114" s="2117"/>
      <c r="I114" s="2117"/>
      <c r="J114" s="2117"/>
      <c r="K114" s="2117"/>
      <c r="L114" s="2117"/>
      <c r="M114" s="2117"/>
      <c r="N114" s="2117"/>
      <c r="O114" s="2117"/>
      <c r="P114" s="2117"/>
      <c r="Q114" s="2117"/>
      <c r="R114" s="2117"/>
      <c r="S114" s="2117"/>
      <c r="T114" s="2117"/>
      <c r="U114" s="2120"/>
      <c r="V114" s="2120"/>
      <c r="W114" s="2120"/>
      <c r="X114" s="2121"/>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6"/>
      <c r="C115" s="2117"/>
      <c r="D115" s="2117"/>
      <c r="E115" s="2117"/>
      <c r="F115" s="2117"/>
      <c r="G115" s="2117"/>
      <c r="H115" s="2117"/>
      <c r="I115" s="2117"/>
      <c r="J115" s="2117"/>
      <c r="K115" s="2117"/>
      <c r="L115" s="2117"/>
      <c r="M115" s="2117"/>
      <c r="N115" s="2117"/>
      <c r="O115" s="2117"/>
      <c r="P115" s="2117"/>
      <c r="Q115" s="2117"/>
      <c r="R115" s="2117"/>
      <c r="S115" s="2117"/>
      <c r="T115" s="2117"/>
      <c r="U115" s="2120"/>
      <c r="V115" s="2120"/>
      <c r="W115" s="2120"/>
      <c r="X115" s="2121"/>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2" t="s">
        <v>2620</v>
      </c>
      <c r="C116" s="2123"/>
      <c r="D116" s="2123"/>
      <c r="E116" s="2123"/>
      <c r="F116" s="2123"/>
      <c r="G116" s="2123"/>
      <c r="H116" s="2123"/>
      <c r="I116" s="2123"/>
      <c r="J116" s="2123"/>
      <c r="K116" s="2123"/>
      <c r="L116" s="2123"/>
      <c r="M116" s="2123"/>
      <c r="N116" s="2123"/>
      <c r="O116" s="2123"/>
      <c r="P116" s="2123"/>
      <c r="Q116" s="2123"/>
      <c r="R116" s="2123"/>
      <c r="S116" s="2123"/>
      <c r="T116" s="2123"/>
      <c r="U116" s="2126" t="s">
        <v>545</v>
      </c>
      <c r="V116" s="2126"/>
      <c r="W116" s="2126"/>
      <c r="X116" s="2127"/>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4"/>
      <c r="C117" s="2125"/>
      <c r="D117" s="2125"/>
      <c r="E117" s="2125"/>
      <c r="F117" s="2125"/>
      <c r="G117" s="2125"/>
      <c r="H117" s="2125"/>
      <c r="I117" s="2125"/>
      <c r="J117" s="2125"/>
      <c r="K117" s="2125"/>
      <c r="L117" s="2125"/>
      <c r="M117" s="2125"/>
      <c r="N117" s="2125"/>
      <c r="O117" s="2125"/>
      <c r="P117" s="2125"/>
      <c r="Q117" s="2125"/>
      <c r="R117" s="2125"/>
      <c r="S117" s="2125"/>
      <c r="T117" s="2125"/>
      <c r="U117" s="2128"/>
      <c r="V117" s="2128"/>
      <c r="W117" s="2128"/>
      <c r="X117" s="2129"/>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2" t="s">
        <v>2303</v>
      </c>
      <c r="Y120" s="2133"/>
      <c r="Z120" s="2133"/>
      <c r="AA120" s="2133"/>
      <c r="AB120" s="2133"/>
      <c r="AC120" s="2133"/>
      <c r="AD120" s="2133"/>
      <c r="AE120" s="2133"/>
      <c r="AF120" s="2133"/>
      <c r="AG120" s="2133"/>
      <c r="AH120" s="2133"/>
      <c r="AI120" s="2133"/>
      <c r="AJ120" s="2133"/>
      <c r="AK120" s="2133"/>
      <c r="AL120" s="2133"/>
      <c r="AM120" s="2133"/>
      <c r="AN120" s="2133"/>
      <c r="AO120" s="2133"/>
      <c r="AP120" s="2133"/>
      <c r="AQ120" s="2133"/>
      <c r="AR120" s="2133"/>
      <c r="AS120" s="2133"/>
      <c r="AT120" s="2133"/>
      <c r="AU120" s="2133"/>
      <c r="AV120" s="2133"/>
      <c r="AW120" s="2133"/>
      <c r="AX120" s="2133"/>
      <c r="AY120" s="2133"/>
      <c r="AZ120" s="2133"/>
      <c r="BA120" s="2133"/>
      <c r="BB120" s="2133"/>
      <c r="BC120" s="2133"/>
      <c r="BD120" s="2134"/>
      <c r="BE120" s="1215"/>
    </row>
    <row r="121" spans="1:57" ht="15.75" customHeight="1">
      <c r="A121" s="1208"/>
      <c r="B121" s="2138" t="s">
        <v>1566</v>
      </c>
      <c r="C121" s="2139"/>
      <c r="D121" s="2139"/>
      <c r="E121" s="2139"/>
      <c r="F121" s="2139"/>
      <c r="G121" s="2139"/>
      <c r="H121" s="2139"/>
      <c r="I121" s="2139"/>
      <c r="J121" s="2139"/>
      <c r="K121" s="2139"/>
      <c r="L121" s="2139"/>
      <c r="M121" s="2139"/>
      <c r="N121" s="2139"/>
      <c r="O121" s="2139"/>
      <c r="P121" s="2139"/>
      <c r="Q121" s="2139"/>
      <c r="R121" s="2139"/>
      <c r="S121" s="2139"/>
      <c r="T121" s="2139"/>
      <c r="U121" s="2140"/>
      <c r="V121" s="1208"/>
      <c r="W121" s="1208"/>
      <c r="X121" s="2135"/>
      <c r="Y121" s="2136"/>
      <c r="Z121" s="2136"/>
      <c r="AA121" s="2136"/>
      <c r="AB121" s="2136"/>
      <c r="AC121" s="2136"/>
      <c r="AD121" s="2136"/>
      <c r="AE121" s="2136"/>
      <c r="AF121" s="2136"/>
      <c r="AG121" s="2136"/>
      <c r="AH121" s="2136"/>
      <c r="AI121" s="2136"/>
      <c r="AJ121" s="2136"/>
      <c r="AK121" s="2136"/>
      <c r="AL121" s="2136"/>
      <c r="AM121" s="2136"/>
      <c r="AN121" s="2136"/>
      <c r="AO121" s="2136"/>
      <c r="AP121" s="2136"/>
      <c r="AQ121" s="2136"/>
      <c r="AR121" s="2136"/>
      <c r="AS121" s="2136"/>
      <c r="AT121" s="2136"/>
      <c r="AU121" s="2136"/>
      <c r="AV121" s="2136"/>
      <c r="AW121" s="2136"/>
      <c r="AX121" s="2136"/>
      <c r="AY121" s="2136"/>
      <c r="AZ121" s="2136"/>
      <c r="BA121" s="2136"/>
      <c r="BB121" s="2136"/>
      <c r="BC121" s="2136"/>
      <c r="BD121" s="2137"/>
      <c r="BE121" s="1215"/>
    </row>
    <row r="122" spans="1:57" ht="15.75" customHeight="1">
      <c r="A122" s="1208"/>
      <c r="B122" s="2047"/>
      <c r="C122" s="2048"/>
      <c r="D122" s="2048"/>
      <c r="E122" s="2048"/>
      <c r="F122" s="2048"/>
      <c r="G122" s="2048"/>
      <c r="H122" s="2048"/>
      <c r="I122" s="2107" t="s">
        <v>2302</v>
      </c>
      <c r="J122" s="2107"/>
      <c r="K122" s="2107"/>
      <c r="L122" s="2107"/>
      <c r="M122" s="2107"/>
      <c r="N122" s="2107"/>
      <c r="O122" s="2108" t="s">
        <v>2301</v>
      </c>
      <c r="P122" s="2108"/>
      <c r="Q122" s="2108"/>
      <c r="R122" s="2108"/>
      <c r="S122" s="2108"/>
      <c r="T122" s="2108"/>
      <c r="U122" s="2109"/>
      <c r="V122" s="1208"/>
      <c r="W122" s="1208"/>
      <c r="X122" s="2050" t="s">
        <v>2271</v>
      </c>
      <c r="Y122" s="2051"/>
      <c r="Z122" s="2051"/>
      <c r="AA122" s="2051"/>
      <c r="AB122" s="2051"/>
      <c r="AC122" s="2051"/>
      <c r="AD122" s="2051"/>
      <c r="AE122" s="2051"/>
      <c r="AF122" s="2051"/>
      <c r="AG122" s="2051"/>
      <c r="AH122" s="2051"/>
      <c r="AI122" s="2051"/>
      <c r="AJ122" s="2051"/>
      <c r="AK122" s="2051"/>
      <c r="AL122" s="2051"/>
      <c r="AM122" s="2051"/>
      <c r="AN122" s="2051"/>
      <c r="AO122" s="2051"/>
      <c r="AP122" s="2051"/>
      <c r="AQ122" s="2051"/>
      <c r="AR122" s="2051"/>
      <c r="AS122" s="2051"/>
      <c r="AT122" s="2051"/>
      <c r="AU122" s="2051"/>
      <c r="AV122" s="2051"/>
      <c r="AW122" s="2051"/>
      <c r="AX122" s="2051"/>
      <c r="AY122" s="2051"/>
      <c r="AZ122" s="2051"/>
      <c r="BA122" s="2051"/>
      <c r="BB122" s="2051"/>
      <c r="BC122" s="2051"/>
      <c r="BD122" s="2052"/>
      <c r="BE122" s="1215"/>
    </row>
    <row r="123" spans="1:57" ht="15.75" customHeight="1">
      <c r="A123" s="1208"/>
      <c r="B123" s="2081" t="s">
        <v>2285</v>
      </c>
      <c r="C123" s="2082"/>
      <c r="D123" s="2082"/>
      <c r="E123" s="2082"/>
      <c r="F123" s="2082"/>
      <c r="G123" s="2082"/>
      <c r="H123" s="2082"/>
      <c r="I123" s="2083">
        <v>0</v>
      </c>
      <c r="J123" s="2083"/>
      <c r="K123" s="2083"/>
      <c r="L123" s="2083"/>
      <c r="M123" s="2083"/>
      <c r="N123" s="2083"/>
      <c r="O123" s="2083">
        <v>0</v>
      </c>
      <c r="P123" s="2083"/>
      <c r="Q123" s="2083"/>
      <c r="R123" s="2083"/>
      <c r="S123" s="2083"/>
      <c r="T123" s="2083"/>
      <c r="U123" s="2084"/>
      <c r="V123" s="1208"/>
      <c r="W123" s="1208"/>
      <c r="X123" s="2050"/>
      <c r="Y123" s="2051"/>
      <c r="Z123" s="2051"/>
      <c r="AA123" s="2051"/>
      <c r="AB123" s="2051"/>
      <c r="AC123" s="2051"/>
      <c r="AD123" s="2051"/>
      <c r="AE123" s="2051"/>
      <c r="AF123" s="2051"/>
      <c r="AG123" s="2051"/>
      <c r="AH123" s="2051"/>
      <c r="AI123" s="2051"/>
      <c r="AJ123" s="2051"/>
      <c r="AK123" s="2051"/>
      <c r="AL123" s="2051"/>
      <c r="AM123" s="2051"/>
      <c r="AN123" s="2051"/>
      <c r="AO123" s="2051"/>
      <c r="AP123" s="2051"/>
      <c r="AQ123" s="2051"/>
      <c r="AR123" s="2051"/>
      <c r="AS123" s="2051"/>
      <c r="AT123" s="2051"/>
      <c r="AU123" s="2051"/>
      <c r="AV123" s="2051"/>
      <c r="AW123" s="2051"/>
      <c r="AX123" s="2051"/>
      <c r="AY123" s="2051"/>
      <c r="AZ123" s="2051"/>
      <c r="BA123" s="2051"/>
      <c r="BB123" s="2051"/>
      <c r="BC123" s="2051"/>
      <c r="BD123" s="2052"/>
      <c r="BE123" s="1215"/>
    </row>
    <row r="124" spans="1:57" ht="15.75" customHeight="1" thickBot="1">
      <c r="A124" s="1208"/>
      <c r="B124" s="2075" t="s">
        <v>2284</v>
      </c>
      <c r="C124" s="2076"/>
      <c r="D124" s="2076"/>
      <c r="E124" s="2076"/>
      <c r="F124" s="2076"/>
      <c r="G124" s="2076"/>
      <c r="H124" s="2076"/>
      <c r="I124" s="2077">
        <v>0</v>
      </c>
      <c r="J124" s="2077"/>
      <c r="K124" s="2077"/>
      <c r="L124" s="2077"/>
      <c r="M124" s="2077"/>
      <c r="N124" s="2077"/>
      <c r="O124" s="2130"/>
      <c r="P124" s="2130"/>
      <c r="Q124" s="2130"/>
      <c r="R124" s="2130"/>
      <c r="S124" s="2130"/>
      <c r="T124" s="2130"/>
      <c r="U124" s="2131"/>
      <c r="V124" s="1208"/>
      <c r="W124" s="1208"/>
      <c r="X124" s="2050"/>
      <c r="Y124" s="2051"/>
      <c r="Z124" s="2051"/>
      <c r="AA124" s="2051"/>
      <c r="AB124" s="2051"/>
      <c r="AC124" s="2051"/>
      <c r="AD124" s="2051"/>
      <c r="AE124" s="2051"/>
      <c r="AF124" s="2051"/>
      <c r="AG124" s="2051"/>
      <c r="AH124" s="2051"/>
      <c r="AI124" s="2051"/>
      <c r="AJ124" s="2051"/>
      <c r="AK124" s="2051"/>
      <c r="AL124" s="2051"/>
      <c r="AM124" s="2051"/>
      <c r="AN124" s="2051"/>
      <c r="AO124" s="2051"/>
      <c r="AP124" s="2051"/>
      <c r="AQ124" s="2051"/>
      <c r="AR124" s="2051"/>
      <c r="AS124" s="2051"/>
      <c r="AT124" s="2051"/>
      <c r="AU124" s="2051"/>
      <c r="AV124" s="2051"/>
      <c r="AW124" s="2051"/>
      <c r="AX124" s="2051"/>
      <c r="AY124" s="2051"/>
      <c r="AZ124" s="2051"/>
      <c r="BA124" s="2051"/>
      <c r="BB124" s="2051"/>
      <c r="BC124" s="2051"/>
      <c r="BD124" s="2052"/>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0"/>
      <c r="Y125" s="2051"/>
      <c r="Z125" s="2051"/>
      <c r="AA125" s="2051"/>
      <c r="AB125" s="2051"/>
      <c r="AC125" s="2051"/>
      <c r="AD125" s="2051"/>
      <c r="AE125" s="2051"/>
      <c r="AF125" s="2051"/>
      <c r="AG125" s="2051"/>
      <c r="AH125" s="2051"/>
      <c r="AI125" s="2051"/>
      <c r="AJ125" s="2051"/>
      <c r="AK125" s="2051"/>
      <c r="AL125" s="2051"/>
      <c r="AM125" s="2051"/>
      <c r="AN125" s="2051"/>
      <c r="AO125" s="2051"/>
      <c r="AP125" s="2051"/>
      <c r="AQ125" s="2051"/>
      <c r="AR125" s="2051"/>
      <c r="AS125" s="2051"/>
      <c r="AT125" s="2051"/>
      <c r="AU125" s="2051"/>
      <c r="AV125" s="2051"/>
      <c r="AW125" s="2051"/>
      <c r="AX125" s="2051"/>
      <c r="AY125" s="2051"/>
      <c r="AZ125" s="2051"/>
      <c r="BA125" s="2051"/>
      <c r="BB125" s="2051"/>
      <c r="BC125" s="2051"/>
      <c r="BD125" s="2052"/>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50"/>
      <c r="Y126" s="2051"/>
      <c r="Z126" s="2051"/>
      <c r="AA126" s="2051"/>
      <c r="AB126" s="2051"/>
      <c r="AC126" s="2051"/>
      <c r="AD126" s="2051"/>
      <c r="AE126" s="2051"/>
      <c r="AF126" s="2051"/>
      <c r="AG126" s="2051"/>
      <c r="AH126" s="2051"/>
      <c r="AI126" s="2051"/>
      <c r="AJ126" s="2051"/>
      <c r="AK126" s="2051"/>
      <c r="AL126" s="2051"/>
      <c r="AM126" s="2051"/>
      <c r="AN126" s="2051"/>
      <c r="AO126" s="2051"/>
      <c r="AP126" s="2051"/>
      <c r="AQ126" s="2051"/>
      <c r="AR126" s="2051"/>
      <c r="AS126" s="2051"/>
      <c r="AT126" s="2051"/>
      <c r="AU126" s="2051"/>
      <c r="AV126" s="2051"/>
      <c r="AW126" s="2051"/>
      <c r="AX126" s="2051"/>
      <c r="AY126" s="2051"/>
      <c r="AZ126" s="2051"/>
      <c r="BA126" s="2051"/>
      <c r="BB126" s="2051"/>
      <c r="BC126" s="2051"/>
      <c r="BD126" s="2052"/>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0"/>
      <c r="Y127" s="2051"/>
      <c r="Z127" s="2051"/>
      <c r="AA127" s="2051"/>
      <c r="AB127" s="2051"/>
      <c r="AC127" s="2051"/>
      <c r="AD127" s="2051"/>
      <c r="AE127" s="2051"/>
      <c r="AF127" s="2051"/>
      <c r="AG127" s="2051"/>
      <c r="AH127" s="2051"/>
      <c r="AI127" s="2051"/>
      <c r="AJ127" s="2051"/>
      <c r="AK127" s="2051"/>
      <c r="AL127" s="2051"/>
      <c r="AM127" s="2051"/>
      <c r="AN127" s="2051"/>
      <c r="AO127" s="2051"/>
      <c r="AP127" s="2051"/>
      <c r="AQ127" s="2051"/>
      <c r="AR127" s="2051"/>
      <c r="AS127" s="2051"/>
      <c r="AT127" s="2051"/>
      <c r="AU127" s="2051"/>
      <c r="AV127" s="2051"/>
      <c r="AW127" s="2051"/>
      <c r="AX127" s="2051"/>
      <c r="AY127" s="2051"/>
      <c r="AZ127" s="2051"/>
      <c r="BA127" s="2051"/>
      <c r="BB127" s="2051"/>
      <c r="BC127" s="2051"/>
      <c r="BD127" s="2052"/>
      <c r="BE127" s="1215"/>
    </row>
    <row r="128" spans="1:57" ht="15.75" customHeight="1">
      <c r="A128" s="1208"/>
      <c r="B128" s="2110" t="s">
        <v>2299</v>
      </c>
      <c r="C128" s="2111"/>
      <c r="D128" s="2111"/>
      <c r="E128" s="2111"/>
      <c r="F128" s="2111"/>
      <c r="G128" s="2111"/>
      <c r="H128" s="2111"/>
      <c r="I128" s="2111"/>
      <c r="J128" s="2111"/>
      <c r="K128" s="2111"/>
      <c r="L128" s="2111"/>
      <c r="M128" s="2111"/>
      <c r="N128" s="2111"/>
      <c r="O128" s="2111"/>
      <c r="P128" s="2111"/>
      <c r="Q128" s="2111"/>
      <c r="R128" s="2111"/>
      <c r="S128" s="2111"/>
      <c r="T128" s="2111"/>
      <c r="U128" s="2112"/>
      <c r="V128" s="1208"/>
      <c r="W128" s="1208"/>
      <c r="X128" s="2050"/>
      <c r="Y128" s="2051"/>
      <c r="Z128" s="2051"/>
      <c r="AA128" s="2051"/>
      <c r="AB128" s="2051"/>
      <c r="AC128" s="2051"/>
      <c r="AD128" s="2051"/>
      <c r="AE128" s="2051"/>
      <c r="AF128" s="2051"/>
      <c r="AG128" s="2051"/>
      <c r="AH128" s="2051"/>
      <c r="AI128" s="2051"/>
      <c r="AJ128" s="2051"/>
      <c r="AK128" s="2051"/>
      <c r="AL128" s="2051"/>
      <c r="AM128" s="2051"/>
      <c r="AN128" s="2051"/>
      <c r="AO128" s="2051"/>
      <c r="AP128" s="2051"/>
      <c r="AQ128" s="2051"/>
      <c r="AR128" s="2051"/>
      <c r="AS128" s="2051"/>
      <c r="AT128" s="2051"/>
      <c r="AU128" s="2051"/>
      <c r="AV128" s="2051"/>
      <c r="AW128" s="2051"/>
      <c r="AX128" s="2051"/>
      <c r="AY128" s="2051"/>
      <c r="AZ128" s="2051"/>
      <c r="BA128" s="2051"/>
      <c r="BB128" s="2051"/>
      <c r="BC128" s="2051"/>
      <c r="BD128" s="2052"/>
      <c r="BE128" s="1215"/>
    </row>
    <row r="129" spans="1:57" ht="15.75" customHeight="1">
      <c r="A129" s="1208"/>
      <c r="B129" s="2047"/>
      <c r="C129" s="2048"/>
      <c r="D129" s="2048"/>
      <c r="E129" s="2048"/>
      <c r="F129" s="2048"/>
      <c r="G129" s="2048"/>
      <c r="H129" s="2048"/>
      <c r="I129" s="2085" t="s">
        <v>2287</v>
      </c>
      <c r="J129" s="2085"/>
      <c r="K129" s="2085"/>
      <c r="L129" s="2085"/>
      <c r="M129" s="2085"/>
      <c r="N129" s="2085"/>
      <c r="O129" s="2085"/>
      <c r="P129" s="2085" t="s">
        <v>2286</v>
      </c>
      <c r="Q129" s="2085"/>
      <c r="R129" s="2085"/>
      <c r="S129" s="2085"/>
      <c r="T129" s="2085"/>
      <c r="U129" s="2086"/>
      <c r="V129" s="1208"/>
      <c r="W129" s="1208"/>
      <c r="X129" s="2050"/>
      <c r="Y129" s="2051"/>
      <c r="Z129" s="2051"/>
      <c r="AA129" s="2051"/>
      <c r="AB129" s="2051"/>
      <c r="AC129" s="2051"/>
      <c r="AD129" s="2051"/>
      <c r="AE129" s="2051"/>
      <c r="AF129" s="2051"/>
      <c r="AG129" s="2051"/>
      <c r="AH129" s="2051"/>
      <c r="AI129" s="2051"/>
      <c r="AJ129" s="2051"/>
      <c r="AK129" s="2051"/>
      <c r="AL129" s="2051"/>
      <c r="AM129" s="2051"/>
      <c r="AN129" s="2051"/>
      <c r="AO129" s="2051"/>
      <c r="AP129" s="2051"/>
      <c r="AQ129" s="2051"/>
      <c r="AR129" s="2051"/>
      <c r="AS129" s="2051"/>
      <c r="AT129" s="2051"/>
      <c r="AU129" s="2051"/>
      <c r="AV129" s="2051"/>
      <c r="AW129" s="2051"/>
      <c r="AX129" s="2051"/>
      <c r="AY129" s="2051"/>
      <c r="AZ129" s="2051"/>
      <c r="BA129" s="2051"/>
      <c r="BB129" s="2051"/>
      <c r="BC129" s="2051"/>
      <c r="BD129" s="2052"/>
      <c r="BE129" s="1215"/>
    </row>
    <row r="130" spans="1:57" ht="15.75" customHeight="1">
      <c r="A130" s="1208"/>
      <c r="B130" s="2047"/>
      <c r="C130" s="2048"/>
      <c r="D130" s="2048"/>
      <c r="E130" s="2048"/>
      <c r="F130" s="2048"/>
      <c r="G130" s="2048"/>
      <c r="H130" s="2048"/>
      <c r="I130" s="2085"/>
      <c r="J130" s="2085"/>
      <c r="K130" s="2085"/>
      <c r="L130" s="2085"/>
      <c r="M130" s="2085"/>
      <c r="N130" s="2085"/>
      <c r="O130" s="2085"/>
      <c r="P130" s="2085"/>
      <c r="Q130" s="2085"/>
      <c r="R130" s="2085"/>
      <c r="S130" s="2085"/>
      <c r="T130" s="2085"/>
      <c r="U130" s="2086"/>
      <c r="V130" s="1208"/>
      <c r="W130" s="1208"/>
      <c r="X130" s="2050"/>
      <c r="Y130" s="2051"/>
      <c r="Z130" s="2051"/>
      <c r="AA130" s="2051"/>
      <c r="AB130" s="2051"/>
      <c r="AC130" s="2051"/>
      <c r="AD130" s="2051"/>
      <c r="AE130" s="2051"/>
      <c r="AF130" s="2051"/>
      <c r="AG130" s="2051"/>
      <c r="AH130" s="2051"/>
      <c r="AI130" s="2051"/>
      <c r="AJ130" s="2051"/>
      <c r="AK130" s="2051"/>
      <c r="AL130" s="2051"/>
      <c r="AM130" s="2051"/>
      <c r="AN130" s="2051"/>
      <c r="AO130" s="2051"/>
      <c r="AP130" s="2051"/>
      <c r="AQ130" s="2051"/>
      <c r="AR130" s="2051"/>
      <c r="AS130" s="2051"/>
      <c r="AT130" s="2051"/>
      <c r="AU130" s="2051"/>
      <c r="AV130" s="2051"/>
      <c r="AW130" s="2051"/>
      <c r="AX130" s="2051"/>
      <c r="AY130" s="2051"/>
      <c r="AZ130" s="2051"/>
      <c r="BA130" s="2051"/>
      <c r="BB130" s="2051"/>
      <c r="BC130" s="2051"/>
      <c r="BD130" s="2052"/>
      <c r="BE130" s="1215"/>
    </row>
    <row r="131" spans="1:57" ht="15.75" customHeight="1">
      <c r="A131" s="1208"/>
      <c r="B131" s="2081" t="s">
        <v>2285</v>
      </c>
      <c r="C131" s="2082"/>
      <c r="D131" s="2082"/>
      <c r="E131" s="2082"/>
      <c r="F131" s="2082"/>
      <c r="G131" s="2082"/>
      <c r="H131" s="2082"/>
      <c r="I131" s="2083">
        <v>0</v>
      </c>
      <c r="J131" s="2083"/>
      <c r="K131" s="2083"/>
      <c r="L131" s="2083"/>
      <c r="M131" s="2083"/>
      <c r="N131" s="2083"/>
      <c r="O131" s="2083"/>
      <c r="P131" s="2083">
        <v>0</v>
      </c>
      <c r="Q131" s="2083"/>
      <c r="R131" s="2083"/>
      <c r="S131" s="2083"/>
      <c r="T131" s="2083"/>
      <c r="U131" s="2084"/>
      <c r="V131" s="1208"/>
      <c r="W131" s="1208"/>
      <c r="X131" s="2050"/>
      <c r="Y131" s="2051"/>
      <c r="Z131" s="2051"/>
      <c r="AA131" s="2051"/>
      <c r="AB131" s="2051"/>
      <c r="AC131" s="2051"/>
      <c r="AD131" s="2051"/>
      <c r="AE131" s="2051"/>
      <c r="AF131" s="2051"/>
      <c r="AG131" s="2051"/>
      <c r="AH131" s="2051"/>
      <c r="AI131" s="2051"/>
      <c r="AJ131" s="2051"/>
      <c r="AK131" s="2051"/>
      <c r="AL131" s="2051"/>
      <c r="AM131" s="2051"/>
      <c r="AN131" s="2051"/>
      <c r="AO131" s="2051"/>
      <c r="AP131" s="2051"/>
      <c r="AQ131" s="2051"/>
      <c r="AR131" s="2051"/>
      <c r="AS131" s="2051"/>
      <c r="AT131" s="2051"/>
      <c r="AU131" s="2051"/>
      <c r="AV131" s="2051"/>
      <c r="AW131" s="2051"/>
      <c r="AX131" s="2051"/>
      <c r="AY131" s="2051"/>
      <c r="AZ131" s="2051"/>
      <c r="BA131" s="2051"/>
      <c r="BB131" s="2051"/>
      <c r="BC131" s="2051"/>
      <c r="BD131" s="2052"/>
      <c r="BE131" s="1215"/>
    </row>
    <row r="132" spans="1:57" ht="15.75" customHeight="1" thickBot="1">
      <c r="A132" s="1208"/>
      <c r="B132" s="2075" t="s">
        <v>2284</v>
      </c>
      <c r="C132" s="2076"/>
      <c r="D132" s="2076"/>
      <c r="E132" s="2076"/>
      <c r="F132" s="2076"/>
      <c r="G132" s="2076"/>
      <c r="H132" s="2076"/>
      <c r="I132" s="2077">
        <v>0</v>
      </c>
      <c r="J132" s="2077"/>
      <c r="K132" s="2077"/>
      <c r="L132" s="2077"/>
      <c r="M132" s="2077"/>
      <c r="N132" s="2077"/>
      <c r="O132" s="2077"/>
      <c r="P132" s="2077">
        <v>0</v>
      </c>
      <c r="Q132" s="2077"/>
      <c r="R132" s="2077"/>
      <c r="S132" s="2077"/>
      <c r="T132" s="2077"/>
      <c r="U132" s="2078"/>
      <c r="V132" s="1208"/>
      <c r="W132" s="1208"/>
      <c r="X132" s="2053"/>
      <c r="Y132" s="2054"/>
      <c r="Z132" s="2054"/>
      <c r="AA132" s="2054"/>
      <c r="AB132" s="2054"/>
      <c r="AC132" s="2054"/>
      <c r="AD132" s="2054"/>
      <c r="AE132" s="2054"/>
      <c r="AF132" s="2054"/>
      <c r="AG132" s="2054"/>
      <c r="AH132" s="2054"/>
      <c r="AI132" s="2054"/>
      <c r="AJ132" s="2054"/>
      <c r="AK132" s="2054"/>
      <c r="AL132" s="2054"/>
      <c r="AM132" s="2054"/>
      <c r="AN132" s="2054"/>
      <c r="AO132" s="2054"/>
      <c r="AP132" s="2054"/>
      <c r="AQ132" s="2054"/>
      <c r="AR132" s="2054"/>
      <c r="AS132" s="2054"/>
      <c r="AT132" s="2054"/>
      <c r="AU132" s="2054"/>
      <c r="AV132" s="2054"/>
      <c r="AW132" s="2054"/>
      <c r="AX132" s="2054"/>
      <c r="AY132" s="2054"/>
      <c r="AZ132" s="2054"/>
      <c r="BA132" s="2054"/>
      <c r="BB132" s="2054"/>
      <c r="BC132" s="2054"/>
      <c r="BD132" s="2055"/>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2" t="s">
        <v>2298</v>
      </c>
      <c r="C134" s="2103"/>
      <c r="D134" s="2103"/>
      <c r="E134" s="2103"/>
      <c r="F134" s="2103"/>
      <c r="G134" s="2103"/>
      <c r="H134" s="2103"/>
      <c r="I134" s="2103"/>
      <c r="J134" s="2103"/>
      <c r="K134" s="2103"/>
      <c r="L134" s="2103"/>
      <c r="M134" s="2103"/>
      <c r="N134" s="2103"/>
      <c r="O134" s="2103"/>
      <c r="P134" s="2103"/>
      <c r="Q134" s="2103"/>
      <c r="R134" s="2103"/>
      <c r="S134" s="2103"/>
      <c r="T134" s="2103"/>
      <c r="U134" s="2103"/>
      <c r="V134" s="2103"/>
      <c r="W134" s="2103"/>
      <c r="X134" s="2103"/>
      <c r="Y134" s="2103"/>
      <c r="Z134" s="2103"/>
      <c r="AA134" s="2103"/>
      <c r="AB134" s="2103"/>
      <c r="AC134" s="2103"/>
      <c r="AD134" s="2103"/>
      <c r="AE134" s="2103"/>
      <c r="AF134" s="2103"/>
      <c r="AG134" s="2103"/>
      <c r="AH134" s="2090" t="s">
        <v>545</v>
      </c>
      <c r="AI134" s="2090"/>
      <c r="AJ134" s="2090"/>
      <c r="AK134" s="2090"/>
      <c r="AL134" s="2090"/>
      <c r="AM134" s="2090"/>
      <c r="AN134" s="2090"/>
      <c r="AO134" s="2090"/>
      <c r="AP134" s="2090"/>
      <c r="AQ134" s="2090"/>
      <c r="AR134" s="2090"/>
      <c r="AS134" s="2090"/>
      <c r="AT134" s="2090"/>
      <c r="AU134" s="2090"/>
      <c r="AV134" s="2090"/>
      <c r="AW134" s="2090"/>
      <c r="AX134" s="2091"/>
      <c r="AY134" s="1208"/>
      <c r="AZ134" s="1208"/>
      <c r="BA134" s="1208"/>
      <c r="BB134" s="1208"/>
      <c r="BC134" s="1208"/>
      <c r="BD134" s="1208"/>
      <c r="BE134" s="1215"/>
    </row>
    <row r="135" spans="1:57" ht="15.75" customHeight="1" thickBot="1">
      <c r="A135" s="1208"/>
      <c r="B135" s="2087" t="s">
        <v>2297</v>
      </c>
      <c r="C135" s="2088"/>
      <c r="D135" s="2088"/>
      <c r="E135" s="2088"/>
      <c r="F135" s="2088"/>
      <c r="G135" s="2088"/>
      <c r="H135" s="2088"/>
      <c r="I135" s="2088"/>
      <c r="J135" s="2088"/>
      <c r="K135" s="2088"/>
      <c r="L135" s="2088"/>
      <c r="M135" s="2088"/>
      <c r="N135" s="2088"/>
      <c r="O135" s="2088"/>
      <c r="P135" s="2088"/>
      <c r="Q135" s="2088"/>
      <c r="R135" s="2088"/>
      <c r="S135" s="2088"/>
      <c r="T135" s="2088"/>
      <c r="U135" s="2088"/>
      <c r="V135" s="2088"/>
      <c r="W135" s="2088"/>
      <c r="X135" s="2088"/>
      <c r="Y135" s="2088"/>
      <c r="Z135" s="2088"/>
      <c r="AA135" s="2088"/>
      <c r="AB135" s="2088"/>
      <c r="AC135" s="2088"/>
      <c r="AD135" s="2088"/>
      <c r="AE135" s="2088"/>
      <c r="AF135" s="2088"/>
      <c r="AG135" s="2089"/>
      <c r="AH135" s="2104"/>
      <c r="AI135" s="2105"/>
      <c r="AJ135" s="2105"/>
      <c r="AK135" s="2105"/>
      <c r="AL135" s="2105"/>
      <c r="AM135" s="2105"/>
      <c r="AN135" s="2105"/>
      <c r="AO135" s="2105"/>
      <c r="AP135" s="2105"/>
      <c r="AQ135" s="2105"/>
      <c r="AR135" s="2105"/>
      <c r="AS135" s="2105"/>
      <c r="AT135" s="2105"/>
      <c r="AU135" s="2105"/>
      <c r="AV135" s="2105"/>
      <c r="AW135" s="2105"/>
      <c r="AX135" s="2106"/>
      <c r="AY135" s="1208"/>
      <c r="AZ135" s="1208"/>
      <c r="BA135" s="1208"/>
      <c r="BB135" s="1208"/>
      <c r="BC135" s="1208"/>
      <c r="BD135" s="1208"/>
      <c r="BE135" s="1215"/>
    </row>
    <row r="136" spans="1:57" ht="15.75" customHeight="1">
      <c r="A136" s="1208"/>
      <c r="B136" s="2087" t="s">
        <v>2296</v>
      </c>
      <c r="C136" s="2088"/>
      <c r="D136" s="2088"/>
      <c r="E136" s="2088"/>
      <c r="F136" s="2088"/>
      <c r="G136" s="2088"/>
      <c r="H136" s="2088"/>
      <c r="I136" s="2088"/>
      <c r="J136" s="2088"/>
      <c r="K136" s="2088"/>
      <c r="L136" s="2088"/>
      <c r="M136" s="2088"/>
      <c r="N136" s="2088"/>
      <c r="O136" s="2088"/>
      <c r="P136" s="2088"/>
      <c r="Q136" s="2088"/>
      <c r="R136" s="2088"/>
      <c r="S136" s="2088"/>
      <c r="T136" s="2088"/>
      <c r="U136" s="2088"/>
      <c r="V136" s="2088"/>
      <c r="W136" s="2088"/>
      <c r="X136" s="2088"/>
      <c r="Y136" s="2088"/>
      <c r="Z136" s="2088"/>
      <c r="AA136" s="2088"/>
      <c r="AB136" s="2088"/>
      <c r="AC136" s="2088"/>
      <c r="AD136" s="2088"/>
      <c r="AE136" s="2088"/>
      <c r="AF136" s="2088"/>
      <c r="AG136" s="2089"/>
      <c r="AH136" s="2090" t="s">
        <v>545</v>
      </c>
      <c r="AI136" s="2090"/>
      <c r="AJ136" s="2090"/>
      <c r="AK136" s="2090"/>
      <c r="AL136" s="2090"/>
      <c r="AM136" s="2090"/>
      <c r="AN136" s="2090"/>
      <c r="AO136" s="2090"/>
      <c r="AP136" s="2090"/>
      <c r="AQ136" s="2090"/>
      <c r="AR136" s="2090"/>
      <c r="AS136" s="2090"/>
      <c r="AT136" s="2090"/>
      <c r="AU136" s="2090"/>
      <c r="AV136" s="2090"/>
      <c r="AW136" s="2090"/>
      <c r="AX136" s="2091"/>
      <c r="AY136" s="1208"/>
      <c r="AZ136" s="1208"/>
      <c r="BA136" s="1208"/>
      <c r="BB136" s="1208"/>
      <c r="BC136" s="1208"/>
      <c r="BD136" s="1208"/>
      <c r="BE136" s="1215"/>
    </row>
    <row r="137" spans="1:57" ht="15.75" customHeight="1">
      <c r="A137" s="1208"/>
      <c r="B137" s="2092" t="s">
        <v>2295</v>
      </c>
      <c r="C137" s="2093"/>
      <c r="D137" s="2093"/>
      <c r="E137" s="2093"/>
      <c r="F137" s="2093"/>
      <c r="G137" s="2093"/>
      <c r="H137" s="2093"/>
      <c r="I137" s="2093"/>
      <c r="J137" s="2093"/>
      <c r="K137" s="2093"/>
      <c r="L137" s="2093"/>
      <c r="M137" s="2093"/>
      <c r="N137" s="2093"/>
      <c r="O137" s="2093"/>
      <c r="P137" s="2093"/>
      <c r="Q137" s="2093"/>
      <c r="R137" s="2094" t="s">
        <v>2294</v>
      </c>
      <c r="S137" s="2094"/>
      <c r="T137" s="2094"/>
      <c r="U137" s="2094"/>
      <c r="V137" s="2094"/>
      <c r="W137" s="2094"/>
      <c r="X137" s="2094"/>
      <c r="Y137" s="2094"/>
      <c r="Z137" s="2094"/>
      <c r="AA137" s="2094"/>
      <c r="AB137" s="2094"/>
      <c r="AC137" s="2094"/>
      <c r="AD137" s="2094"/>
      <c r="AE137" s="2094"/>
      <c r="AF137" s="2094"/>
      <c r="AG137" s="2094"/>
      <c r="AH137" s="2094"/>
      <c r="AI137" s="2094"/>
      <c r="AJ137" s="2094"/>
      <c r="AK137" s="2094"/>
      <c r="AL137" s="2094"/>
      <c r="AM137" s="2094"/>
      <c r="AN137" s="2094"/>
      <c r="AO137" s="2094"/>
      <c r="AP137" s="2094"/>
      <c r="AQ137" s="2094"/>
      <c r="AR137" s="2094"/>
      <c r="AS137" s="2094"/>
      <c r="AT137" s="2094"/>
      <c r="AU137" s="2094"/>
      <c r="AV137" s="2094"/>
      <c r="AW137" s="2094"/>
      <c r="AX137" s="2095"/>
      <c r="AY137" s="1208"/>
      <c r="AZ137" s="1208"/>
      <c r="BA137" s="1208"/>
      <c r="BB137" s="1208"/>
      <c r="BC137" s="1208" t="s">
        <v>250</v>
      </c>
      <c r="BD137" s="1208"/>
      <c r="BE137" s="1215"/>
    </row>
    <row r="138" spans="1:57" ht="15.75" customHeight="1">
      <c r="A138" s="1208"/>
      <c r="B138" s="2096" t="s">
        <v>2293</v>
      </c>
      <c r="C138" s="2097"/>
      <c r="D138" s="2097"/>
      <c r="E138" s="2097"/>
      <c r="F138" s="2097"/>
      <c r="G138" s="2097"/>
      <c r="H138" s="2097"/>
      <c r="I138" s="2097"/>
      <c r="J138" s="2097"/>
      <c r="K138" s="2097"/>
      <c r="L138" s="2097"/>
      <c r="M138" s="2097"/>
      <c r="N138" s="2097"/>
      <c r="O138" s="2097"/>
      <c r="P138" s="2097"/>
      <c r="Q138" s="2097"/>
      <c r="R138" s="2097"/>
      <c r="S138" s="2097"/>
      <c r="T138" s="2097"/>
      <c r="U138" s="2097"/>
      <c r="V138" s="2097"/>
      <c r="W138" s="2097"/>
      <c r="X138" s="2097"/>
      <c r="Y138" s="2097"/>
      <c r="Z138" s="2097"/>
      <c r="AA138" s="2097"/>
      <c r="AB138" s="2097"/>
      <c r="AC138" s="2097"/>
      <c r="AD138" s="2097"/>
      <c r="AE138" s="2097"/>
      <c r="AF138" s="2097"/>
      <c r="AG138" s="2097"/>
      <c r="AH138" s="2097"/>
      <c r="AI138" s="2097"/>
      <c r="AJ138" s="2097"/>
      <c r="AK138" s="2097"/>
      <c r="AL138" s="2097"/>
      <c r="AM138" s="2097"/>
      <c r="AN138" s="2097"/>
      <c r="AO138" s="2097"/>
      <c r="AP138" s="2097"/>
      <c r="AQ138" s="2097"/>
      <c r="AR138" s="2097"/>
      <c r="AS138" s="2097"/>
      <c r="AT138" s="2097"/>
      <c r="AU138" s="2097"/>
      <c r="AV138" s="2097"/>
      <c r="AW138" s="2097"/>
      <c r="AX138" s="2098"/>
      <c r="AY138" s="1208"/>
      <c r="AZ138" s="1208"/>
      <c r="BA138" s="1208"/>
      <c r="BB138" s="1208"/>
      <c r="BC138" s="1208"/>
      <c r="BD138" s="1208"/>
      <c r="BE138" s="1215"/>
    </row>
    <row r="139" spans="1:57" ht="15.75" customHeight="1">
      <c r="A139" s="1208"/>
      <c r="B139" s="2096"/>
      <c r="C139" s="2097"/>
      <c r="D139" s="2097"/>
      <c r="E139" s="2097"/>
      <c r="F139" s="2097"/>
      <c r="G139" s="2097"/>
      <c r="H139" s="2097"/>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97"/>
      <c r="AD139" s="2097"/>
      <c r="AE139" s="2097"/>
      <c r="AF139" s="2097"/>
      <c r="AG139" s="2097"/>
      <c r="AH139" s="2097"/>
      <c r="AI139" s="2097"/>
      <c r="AJ139" s="2097"/>
      <c r="AK139" s="2097"/>
      <c r="AL139" s="2097"/>
      <c r="AM139" s="2097"/>
      <c r="AN139" s="2097"/>
      <c r="AO139" s="2097"/>
      <c r="AP139" s="2097"/>
      <c r="AQ139" s="2097"/>
      <c r="AR139" s="2097"/>
      <c r="AS139" s="2097"/>
      <c r="AT139" s="2097"/>
      <c r="AU139" s="2097"/>
      <c r="AV139" s="2097"/>
      <c r="AW139" s="2097"/>
      <c r="AX139" s="2098"/>
      <c r="AY139" s="1208"/>
      <c r="AZ139" s="1208"/>
      <c r="BA139" s="1208"/>
      <c r="BB139" s="1208"/>
      <c r="BC139" s="1208"/>
      <c r="BD139" s="1208"/>
      <c r="BE139" s="1215"/>
    </row>
    <row r="140" spans="1:57" ht="15.75" customHeight="1">
      <c r="A140" s="1208"/>
      <c r="B140" s="2096"/>
      <c r="C140" s="2097"/>
      <c r="D140" s="2097"/>
      <c r="E140" s="2097"/>
      <c r="F140" s="2097"/>
      <c r="G140" s="2097"/>
      <c r="H140" s="2097"/>
      <c r="I140" s="2097"/>
      <c r="J140" s="2097"/>
      <c r="K140" s="2097"/>
      <c r="L140" s="2097"/>
      <c r="M140" s="2097"/>
      <c r="N140" s="2097"/>
      <c r="O140" s="2097"/>
      <c r="P140" s="2097"/>
      <c r="Q140" s="2097"/>
      <c r="R140" s="2097"/>
      <c r="S140" s="2097"/>
      <c r="T140" s="2097"/>
      <c r="U140" s="2097"/>
      <c r="V140" s="2097"/>
      <c r="W140" s="2097"/>
      <c r="X140" s="2097"/>
      <c r="Y140" s="2097"/>
      <c r="Z140" s="2097"/>
      <c r="AA140" s="2097"/>
      <c r="AB140" s="2097"/>
      <c r="AC140" s="2097"/>
      <c r="AD140" s="2097"/>
      <c r="AE140" s="2097"/>
      <c r="AF140" s="2097"/>
      <c r="AG140" s="2097"/>
      <c r="AH140" s="2097"/>
      <c r="AI140" s="2097"/>
      <c r="AJ140" s="2097"/>
      <c r="AK140" s="2097"/>
      <c r="AL140" s="2097"/>
      <c r="AM140" s="2097"/>
      <c r="AN140" s="2097"/>
      <c r="AO140" s="2097"/>
      <c r="AP140" s="2097"/>
      <c r="AQ140" s="2097"/>
      <c r="AR140" s="2097"/>
      <c r="AS140" s="2097"/>
      <c r="AT140" s="2097"/>
      <c r="AU140" s="2097"/>
      <c r="AV140" s="2097"/>
      <c r="AW140" s="2097"/>
      <c r="AX140" s="2098"/>
      <c r="AY140" s="1208"/>
      <c r="AZ140" s="1208"/>
      <c r="BA140" s="1208"/>
      <c r="BB140" s="1208"/>
      <c r="BC140" s="1208"/>
      <c r="BD140" s="1208"/>
      <c r="BE140" s="1215"/>
    </row>
    <row r="141" spans="1:57" ht="15.75" customHeight="1">
      <c r="A141" s="1208"/>
      <c r="B141" s="2096"/>
      <c r="C141" s="2097"/>
      <c r="D141" s="2097"/>
      <c r="E141" s="2097"/>
      <c r="F141" s="2097"/>
      <c r="G141" s="2097"/>
      <c r="H141" s="2097"/>
      <c r="I141" s="2097"/>
      <c r="J141" s="2097"/>
      <c r="K141" s="2097"/>
      <c r="L141" s="2097"/>
      <c r="M141" s="2097"/>
      <c r="N141" s="2097"/>
      <c r="O141" s="2097"/>
      <c r="P141" s="2097"/>
      <c r="Q141" s="2097"/>
      <c r="R141" s="2097"/>
      <c r="S141" s="2097"/>
      <c r="T141" s="2097"/>
      <c r="U141" s="2097"/>
      <c r="V141" s="2097"/>
      <c r="W141" s="2097"/>
      <c r="X141" s="2097"/>
      <c r="Y141" s="2097"/>
      <c r="Z141" s="2097"/>
      <c r="AA141" s="2097"/>
      <c r="AB141" s="2097"/>
      <c r="AC141" s="2097"/>
      <c r="AD141" s="2097"/>
      <c r="AE141" s="2097"/>
      <c r="AF141" s="2097"/>
      <c r="AG141" s="2097"/>
      <c r="AH141" s="2097"/>
      <c r="AI141" s="2097"/>
      <c r="AJ141" s="2097"/>
      <c r="AK141" s="2097"/>
      <c r="AL141" s="2097"/>
      <c r="AM141" s="2097"/>
      <c r="AN141" s="2097"/>
      <c r="AO141" s="2097"/>
      <c r="AP141" s="2097"/>
      <c r="AQ141" s="2097"/>
      <c r="AR141" s="2097"/>
      <c r="AS141" s="2097"/>
      <c r="AT141" s="2097"/>
      <c r="AU141" s="2097"/>
      <c r="AV141" s="2097"/>
      <c r="AW141" s="2097"/>
      <c r="AX141" s="2098"/>
      <c r="AY141" s="1208"/>
      <c r="AZ141" s="1208"/>
      <c r="BA141" s="1208"/>
      <c r="BB141" s="1208"/>
      <c r="BC141" s="1208"/>
      <c r="BD141" s="1208"/>
      <c r="BE141" s="1215"/>
    </row>
    <row r="142" spans="1:57" ht="15.75" customHeight="1">
      <c r="A142" s="1208"/>
      <c r="B142" s="2096"/>
      <c r="C142" s="2097"/>
      <c r="D142" s="2097"/>
      <c r="E142" s="2097"/>
      <c r="F142" s="2097"/>
      <c r="G142" s="2097"/>
      <c r="H142" s="2097"/>
      <c r="I142" s="2097"/>
      <c r="J142" s="2097"/>
      <c r="K142" s="2097"/>
      <c r="L142" s="2097"/>
      <c r="M142" s="2097"/>
      <c r="N142" s="2097"/>
      <c r="O142" s="2097"/>
      <c r="P142" s="2097"/>
      <c r="Q142" s="2097"/>
      <c r="R142" s="2097"/>
      <c r="S142" s="2097"/>
      <c r="T142" s="2097"/>
      <c r="U142" s="2097"/>
      <c r="V142" s="2097"/>
      <c r="W142" s="2097"/>
      <c r="X142" s="2097"/>
      <c r="Y142" s="2097"/>
      <c r="Z142" s="2097"/>
      <c r="AA142" s="2097"/>
      <c r="AB142" s="2097"/>
      <c r="AC142" s="2097"/>
      <c r="AD142" s="2097"/>
      <c r="AE142" s="2097"/>
      <c r="AF142" s="2097"/>
      <c r="AG142" s="2097"/>
      <c r="AH142" s="2097"/>
      <c r="AI142" s="2097"/>
      <c r="AJ142" s="2097"/>
      <c r="AK142" s="2097"/>
      <c r="AL142" s="2097"/>
      <c r="AM142" s="2097"/>
      <c r="AN142" s="2097"/>
      <c r="AO142" s="2097"/>
      <c r="AP142" s="2097"/>
      <c r="AQ142" s="2097"/>
      <c r="AR142" s="2097"/>
      <c r="AS142" s="2097"/>
      <c r="AT142" s="2097"/>
      <c r="AU142" s="2097"/>
      <c r="AV142" s="2097"/>
      <c r="AW142" s="2097"/>
      <c r="AX142" s="2098"/>
      <c r="AY142" s="1208"/>
      <c r="AZ142" s="1208"/>
      <c r="BA142" s="1208"/>
      <c r="BB142" s="1208"/>
      <c r="BC142" s="1208"/>
      <c r="BD142" s="1208"/>
      <c r="BE142" s="1215"/>
    </row>
    <row r="143" spans="1:57" ht="15.75" customHeight="1">
      <c r="A143" s="1208"/>
      <c r="B143" s="2096"/>
      <c r="C143" s="2097"/>
      <c r="D143" s="2097"/>
      <c r="E143" s="2097"/>
      <c r="F143" s="2097"/>
      <c r="G143" s="2097"/>
      <c r="H143" s="2097"/>
      <c r="I143" s="2097"/>
      <c r="J143" s="2097"/>
      <c r="K143" s="2097"/>
      <c r="L143" s="2097"/>
      <c r="M143" s="2097"/>
      <c r="N143" s="2097"/>
      <c r="O143" s="2097"/>
      <c r="P143" s="2097"/>
      <c r="Q143" s="2097"/>
      <c r="R143" s="2097"/>
      <c r="S143" s="2097"/>
      <c r="T143" s="2097"/>
      <c r="U143" s="2097"/>
      <c r="V143" s="2097"/>
      <c r="W143" s="2097"/>
      <c r="X143" s="2097"/>
      <c r="Y143" s="2097"/>
      <c r="Z143" s="2097"/>
      <c r="AA143" s="2097"/>
      <c r="AB143" s="2097"/>
      <c r="AC143" s="2097"/>
      <c r="AD143" s="2097"/>
      <c r="AE143" s="2097"/>
      <c r="AF143" s="2097"/>
      <c r="AG143" s="2097"/>
      <c r="AH143" s="2097"/>
      <c r="AI143" s="2097"/>
      <c r="AJ143" s="2097"/>
      <c r="AK143" s="2097"/>
      <c r="AL143" s="2097"/>
      <c r="AM143" s="2097"/>
      <c r="AN143" s="2097"/>
      <c r="AO143" s="2097"/>
      <c r="AP143" s="2097"/>
      <c r="AQ143" s="2097"/>
      <c r="AR143" s="2097"/>
      <c r="AS143" s="2097"/>
      <c r="AT143" s="2097"/>
      <c r="AU143" s="2097"/>
      <c r="AV143" s="2097"/>
      <c r="AW143" s="2097"/>
      <c r="AX143" s="2098"/>
      <c r="AY143" s="1208"/>
      <c r="AZ143" s="1208"/>
      <c r="BA143" s="1208"/>
      <c r="BB143" s="1208"/>
      <c r="BC143" s="1208"/>
      <c r="BD143" s="1208"/>
      <c r="BE143" s="1215"/>
    </row>
    <row r="144" spans="1:57" ht="15.75" customHeight="1">
      <c r="A144" s="1208"/>
      <c r="B144" s="2096"/>
      <c r="C144" s="2097"/>
      <c r="D144" s="2097"/>
      <c r="E144" s="2097"/>
      <c r="F144" s="2097"/>
      <c r="G144" s="2097"/>
      <c r="H144" s="2097"/>
      <c r="I144" s="2097"/>
      <c r="J144" s="2097"/>
      <c r="K144" s="2097"/>
      <c r="L144" s="2097"/>
      <c r="M144" s="2097"/>
      <c r="N144" s="2097"/>
      <c r="O144" s="2097"/>
      <c r="P144" s="2097"/>
      <c r="Q144" s="2097"/>
      <c r="R144" s="2097"/>
      <c r="S144" s="2097"/>
      <c r="T144" s="2097"/>
      <c r="U144" s="2097"/>
      <c r="V144" s="2097"/>
      <c r="W144" s="2097"/>
      <c r="X144" s="2097"/>
      <c r="Y144" s="2097"/>
      <c r="Z144" s="2097"/>
      <c r="AA144" s="2097"/>
      <c r="AB144" s="2097"/>
      <c r="AC144" s="2097"/>
      <c r="AD144" s="2097"/>
      <c r="AE144" s="2097"/>
      <c r="AF144" s="2097"/>
      <c r="AG144" s="2097"/>
      <c r="AH144" s="2097"/>
      <c r="AI144" s="2097"/>
      <c r="AJ144" s="2097"/>
      <c r="AK144" s="2097"/>
      <c r="AL144" s="2097"/>
      <c r="AM144" s="2097"/>
      <c r="AN144" s="2097"/>
      <c r="AO144" s="2097"/>
      <c r="AP144" s="2097"/>
      <c r="AQ144" s="2097"/>
      <c r="AR144" s="2097"/>
      <c r="AS144" s="2097"/>
      <c r="AT144" s="2097"/>
      <c r="AU144" s="2097"/>
      <c r="AV144" s="2097"/>
      <c r="AW144" s="2097"/>
      <c r="AX144" s="2098"/>
      <c r="AY144" s="1208"/>
      <c r="AZ144" s="1208"/>
      <c r="BA144" s="1208"/>
      <c r="BB144" s="1208"/>
      <c r="BC144" s="1208"/>
      <c r="BD144" s="1208"/>
      <c r="BE144" s="1215"/>
    </row>
    <row r="145" spans="1:57" ht="15.75" customHeight="1">
      <c r="A145" s="1208"/>
      <c r="B145" s="2096"/>
      <c r="C145" s="2097"/>
      <c r="D145" s="2097"/>
      <c r="E145" s="2097"/>
      <c r="F145" s="2097"/>
      <c r="G145" s="2097"/>
      <c r="H145" s="2097"/>
      <c r="I145" s="2097"/>
      <c r="J145" s="2097"/>
      <c r="K145" s="2097"/>
      <c r="L145" s="2097"/>
      <c r="M145" s="2097"/>
      <c r="N145" s="2097"/>
      <c r="O145" s="2097"/>
      <c r="P145" s="2097"/>
      <c r="Q145" s="2097"/>
      <c r="R145" s="2097"/>
      <c r="S145" s="2097"/>
      <c r="T145" s="2097"/>
      <c r="U145" s="2097"/>
      <c r="V145" s="2097"/>
      <c r="W145" s="2097"/>
      <c r="X145" s="2097"/>
      <c r="Y145" s="2097"/>
      <c r="Z145" s="2097"/>
      <c r="AA145" s="2097"/>
      <c r="AB145" s="2097"/>
      <c r="AC145" s="2097"/>
      <c r="AD145" s="2097"/>
      <c r="AE145" s="2097"/>
      <c r="AF145" s="2097"/>
      <c r="AG145" s="2097"/>
      <c r="AH145" s="2097"/>
      <c r="AI145" s="2097"/>
      <c r="AJ145" s="2097"/>
      <c r="AK145" s="2097"/>
      <c r="AL145" s="2097"/>
      <c r="AM145" s="2097"/>
      <c r="AN145" s="2097"/>
      <c r="AO145" s="2097"/>
      <c r="AP145" s="2097"/>
      <c r="AQ145" s="2097"/>
      <c r="AR145" s="2097"/>
      <c r="AS145" s="2097"/>
      <c r="AT145" s="2097"/>
      <c r="AU145" s="2097"/>
      <c r="AV145" s="2097"/>
      <c r="AW145" s="2097"/>
      <c r="AX145" s="2098"/>
      <c r="AY145" s="1208"/>
      <c r="AZ145" s="1208"/>
      <c r="BA145" s="1208"/>
      <c r="BB145" s="1208"/>
      <c r="BC145" s="1208"/>
      <c r="BD145" s="1208"/>
      <c r="BE145" s="1215"/>
    </row>
    <row r="146" spans="1:57" ht="15.75" customHeight="1">
      <c r="A146" s="1208"/>
      <c r="B146" s="2096"/>
      <c r="C146" s="2097"/>
      <c r="D146" s="2097"/>
      <c r="E146" s="2097"/>
      <c r="F146" s="2097"/>
      <c r="G146" s="2097"/>
      <c r="H146" s="2097"/>
      <c r="I146" s="2097"/>
      <c r="J146" s="2097"/>
      <c r="K146" s="2097"/>
      <c r="L146" s="2097"/>
      <c r="M146" s="2097"/>
      <c r="N146" s="2097"/>
      <c r="O146" s="2097"/>
      <c r="P146" s="2097"/>
      <c r="Q146" s="2097"/>
      <c r="R146" s="2097"/>
      <c r="S146" s="2097"/>
      <c r="T146" s="2097"/>
      <c r="U146" s="2097"/>
      <c r="V146" s="2097"/>
      <c r="W146" s="2097"/>
      <c r="X146" s="2097"/>
      <c r="Y146" s="2097"/>
      <c r="Z146" s="2097"/>
      <c r="AA146" s="2097"/>
      <c r="AB146" s="2097"/>
      <c r="AC146" s="2097"/>
      <c r="AD146" s="2097"/>
      <c r="AE146" s="2097"/>
      <c r="AF146" s="2097"/>
      <c r="AG146" s="2097"/>
      <c r="AH146" s="2097"/>
      <c r="AI146" s="2097"/>
      <c r="AJ146" s="2097"/>
      <c r="AK146" s="2097"/>
      <c r="AL146" s="2097"/>
      <c r="AM146" s="2097"/>
      <c r="AN146" s="2097"/>
      <c r="AO146" s="2097"/>
      <c r="AP146" s="2097"/>
      <c r="AQ146" s="2097"/>
      <c r="AR146" s="2097"/>
      <c r="AS146" s="2097"/>
      <c r="AT146" s="2097"/>
      <c r="AU146" s="2097"/>
      <c r="AV146" s="2097"/>
      <c r="AW146" s="2097"/>
      <c r="AX146" s="2098"/>
      <c r="AY146" s="1208"/>
      <c r="AZ146" s="1208"/>
      <c r="BA146" s="1208"/>
      <c r="BB146" s="1208"/>
      <c r="BC146" s="1208"/>
      <c r="BD146" s="1208"/>
      <c r="BE146" s="1215"/>
    </row>
    <row r="147" spans="1:57" ht="15.75" customHeight="1" thickBot="1">
      <c r="A147" s="1208"/>
      <c r="B147" s="2099"/>
      <c r="C147" s="2100"/>
      <c r="D147" s="2100"/>
      <c r="E147" s="2100"/>
      <c r="F147" s="2100"/>
      <c r="G147" s="2100"/>
      <c r="H147" s="2100"/>
      <c r="I147" s="2100"/>
      <c r="J147" s="2100"/>
      <c r="K147" s="2100"/>
      <c r="L147" s="2100"/>
      <c r="M147" s="2100"/>
      <c r="N147" s="2100"/>
      <c r="O147" s="2100"/>
      <c r="P147" s="2100"/>
      <c r="Q147" s="2100"/>
      <c r="R147" s="2100"/>
      <c r="S147" s="2100"/>
      <c r="T147" s="2100"/>
      <c r="U147" s="2100"/>
      <c r="V147" s="2100"/>
      <c r="W147" s="2100"/>
      <c r="X147" s="2100"/>
      <c r="Y147" s="2100"/>
      <c r="Z147" s="2100"/>
      <c r="AA147" s="2100"/>
      <c r="AB147" s="2100"/>
      <c r="AC147" s="2100"/>
      <c r="AD147" s="2100"/>
      <c r="AE147" s="2100"/>
      <c r="AF147" s="2100"/>
      <c r="AG147" s="2100"/>
      <c r="AH147" s="2100"/>
      <c r="AI147" s="2100"/>
      <c r="AJ147" s="2100"/>
      <c r="AK147" s="2100"/>
      <c r="AL147" s="2100"/>
      <c r="AM147" s="2100"/>
      <c r="AN147" s="2100"/>
      <c r="AO147" s="2100"/>
      <c r="AP147" s="2100"/>
      <c r="AQ147" s="2100"/>
      <c r="AR147" s="2100"/>
      <c r="AS147" s="2100"/>
      <c r="AT147" s="2100"/>
      <c r="AU147" s="2100"/>
      <c r="AV147" s="2100"/>
      <c r="AW147" s="2100"/>
      <c r="AX147" s="2101"/>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9" t="s">
        <v>2290</v>
      </c>
      <c r="C151" s="2035"/>
      <c r="D151" s="2035"/>
      <c r="E151" s="2035"/>
      <c r="F151" s="2035"/>
      <c r="G151" s="2035"/>
      <c r="H151" s="2035"/>
      <c r="I151" s="2035"/>
      <c r="J151" s="2035"/>
      <c r="K151" s="2035"/>
      <c r="L151" s="2035"/>
      <c r="M151" s="2035"/>
      <c r="N151" s="2035"/>
      <c r="O151" s="2035"/>
      <c r="P151" s="2035"/>
      <c r="Q151" s="2035"/>
      <c r="R151" s="2035"/>
      <c r="S151" s="2035"/>
      <c r="T151" s="2035"/>
      <c r="U151" s="2036"/>
      <c r="V151" s="1208"/>
      <c r="W151" s="1209"/>
      <c r="X151" s="2079" t="s">
        <v>2289</v>
      </c>
      <c r="Y151" s="2035"/>
      <c r="Z151" s="2035"/>
      <c r="AA151" s="2035"/>
      <c r="AB151" s="2035"/>
      <c r="AC151" s="2035"/>
      <c r="AD151" s="2035"/>
      <c r="AE151" s="2035"/>
      <c r="AF151" s="2035"/>
      <c r="AG151" s="2035"/>
      <c r="AH151" s="2035"/>
      <c r="AI151" s="2035"/>
      <c r="AJ151" s="2035"/>
      <c r="AK151" s="2035"/>
      <c r="AL151" s="2035"/>
      <c r="AM151" s="2035"/>
      <c r="AN151" s="2035"/>
      <c r="AO151" s="2035"/>
      <c r="AP151" s="2035"/>
      <c r="AQ151" s="2036"/>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7"/>
      <c r="C152" s="2048"/>
      <c r="D152" s="2048"/>
      <c r="E152" s="2048"/>
      <c r="F152" s="2048"/>
      <c r="G152" s="2048"/>
      <c r="H152" s="2048"/>
      <c r="I152" s="2085" t="s">
        <v>2287</v>
      </c>
      <c r="J152" s="2085"/>
      <c r="K152" s="2085"/>
      <c r="L152" s="2085"/>
      <c r="M152" s="2085"/>
      <c r="N152" s="2085"/>
      <c r="O152" s="2085"/>
      <c r="P152" s="2085" t="s">
        <v>2288</v>
      </c>
      <c r="Q152" s="2085"/>
      <c r="R152" s="2085"/>
      <c r="S152" s="2085"/>
      <c r="T152" s="2085"/>
      <c r="U152" s="2086"/>
      <c r="V152" s="1208"/>
      <c r="W152" s="1208"/>
      <c r="X152" s="2047"/>
      <c r="Y152" s="2048"/>
      <c r="Z152" s="2048"/>
      <c r="AA152" s="2048"/>
      <c r="AB152" s="2048"/>
      <c r="AC152" s="2048"/>
      <c r="AD152" s="2048"/>
      <c r="AE152" s="2085" t="s">
        <v>2287</v>
      </c>
      <c r="AF152" s="2085"/>
      <c r="AG152" s="2085"/>
      <c r="AH152" s="2085"/>
      <c r="AI152" s="2085"/>
      <c r="AJ152" s="2085"/>
      <c r="AK152" s="2085"/>
      <c r="AL152" s="2085" t="s">
        <v>2286</v>
      </c>
      <c r="AM152" s="2085"/>
      <c r="AN152" s="2085"/>
      <c r="AO152" s="2085"/>
      <c r="AP152" s="2085"/>
      <c r="AQ152" s="2086"/>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7"/>
      <c r="C153" s="2048"/>
      <c r="D153" s="2048"/>
      <c r="E153" s="2048"/>
      <c r="F153" s="2048"/>
      <c r="G153" s="2048"/>
      <c r="H153" s="2048"/>
      <c r="I153" s="2085"/>
      <c r="J153" s="2085"/>
      <c r="K153" s="2085"/>
      <c r="L153" s="2085"/>
      <c r="M153" s="2085"/>
      <c r="N153" s="2085"/>
      <c r="O153" s="2085"/>
      <c r="P153" s="2085"/>
      <c r="Q153" s="2085"/>
      <c r="R153" s="2085"/>
      <c r="S153" s="2085"/>
      <c r="T153" s="2085"/>
      <c r="U153" s="2086"/>
      <c r="V153" s="1208"/>
      <c r="W153" s="1208"/>
      <c r="X153" s="2047"/>
      <c r="Y153" s="2048"/>
      <c r="Z153" s="2048"/>
      <c r="AA153" s="2048"/>
      <c r="AB153" s="2048"/>
      <c r="AC153" s="2048"/>
      <c r="AD153" s="2048"/>
      <c r="AE153" s="2085"/>
      <c r="AF153" s="2085"/>
      <c r="AG153" s="2085"/>
      <c r="AH153" s="2085"/>
      <c r="AI153" s="2085"/>
      <c r="AJ153" s="2085"/>
      <c r="AK153" s="2085"/>
      <c r="AL153" s="2085"/>
      <c r="AM153" s="2085"/>
      <c r="AN153" s="2085"/>
      <c r="AO153" s="2085"/>
      <c r="AP153" s="2085"/>
      <c r="AQ153" s="208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1" t="s">
        <v>2285</v>
      </c>
      <c r="C154" s="2082"/>
      <c r="D154" s="2082"/>
      <c r="E154" s="2082"/>
      <c r="F154" s="2082"/>
      <c r="G154" s="2082"/>
      <c r="H154" s="2082"/>
      <c r="I154" s="2083">
        <v>0</v>
      </c>
      <c r="J154" s="2083"/>
      <c r="K154" s="2083"/>
      <c r="L154" s="2083"/>
      <c r="M154" s="2083"/>
      <c r="N154" s="2083"/>
      <c r="O154" s="2083"/>
      <c r="P154" s="2083">
        <v>0</v>
      </c>
      <c r="Q154" s="2083"/>
      <c r="R154" s="2083"/>
      <c r="S154" s="2083"/>
      <c r="T154" s="2083"/>
      <c r="U154" s="2084"/>
      <c r="V154" s="1208"/>
      <c r="W154" s="1208"/>
      <c r="X154" s="2075" t="s">
        <v>2285</v>
      </c>
      <c r="Y154" s="2076"/>
      <c r="Z154" s="2076"/>
      <c r="AA154" s="2076"/>
      <c r="AB154" s="2076"/>
      <c r="AC154" s="2076"/>
      <c r="AD154" s="2076"/>
      <c r="AE154" s="2077">
        <v>0</v>
      </c>
      <c r="AF154" s="2077"/>
      <c r="AG154" s="2077"/>
      <c r="AH154" s="2077"/>
      <c r="AI154" s="2077"/>
      <c r="AJ154" s="2077"/>
      <c r="AK154" s="2077"/>
      <c r="AL154" s="2077">
        <v>0</v>
      </c>
      <c r="AM154" s="2077"/>
      <c r="AN154" s="2077"/>
      <c r="AO154" s="2077"/>
      <c r="AP154" s="2077"/>
      <c r="AQ154" s="207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5" t="s">
        <v>2284</v>
      </c>
      <c r="C155" s="2076"/>
      <c r="D155" s="2076"/>
      <c r="E155" s="2076"/>
      <c r="F155" s="2076"/>
      <c r="G155" s="2076"/>
      <c r="H155" s="2076"/>
      <c r="I155" s="2077">
        <v>0</v>
      </c>
      <c r="J155" s="2077"/>
      <c r="K155" s="2077"/>
      <c r="L155" s="2077"/>
      <c r="M155" s="2077"/>
      <c r="N155" s="2077"/>
      <c r="O155" s="2077"/>
      <c r="P155" s="2077">
        <v>0</v>
      </c>
      <c r="Q155" s="2077"/>
      <c r="R155" s="2077"/>
      <c r="S155" s="2077"/>
      <c r="T155" s="2077"/>
      <c r="U155" s="207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9" t="s">
        <v>2283</v>
      </c>
      <c r="D157" s="2035"/>
      <c r="E157" s="2035"/>
      <c r="F157" s="2035"/>
      <c r="G157" s="2035"/>
      <c r="H157" s="2035"/>
      <c r="I157" s="2035"/>
      <c r="J157" s="2035"/>
      <c r="K157" s="2035"/>
      <c r="L157" s="2035"/>
      <c r="M157" s="2035"/>
      <c r="N157" s="2035"/>
      <c r="O157" s="2035"/>
      <c r="P157" s="2035"/>
      <c r="Q157" s="2035"/>
      <c r="R157" s="2035"/>
      <c r="S157" s="2035"/>
      <c r="T157" s="2035"/>
      <c r="U157" s="2035"/>
      <c r="V157" s="2035"/>
      <c r="W157" s="2035"/>
      <c r="X157" s="2035"/>
      <c r="Y157" s="2035"/>
      <c r="Z157" s="2035"/>
      <c r="AA157" s="2035"/>
      <c r="AB157" s="2035"/>
      <c r="AC157" s="2035"/>
      <c r="AD157" s="2035"/>
      <c r="AE157" s="2035"/>
      <c r="AF157" s="2035"/>
      <c r="AG157" s="203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7" t="s">
        <v>2268</v>
      </c>
      <c r="D158" s="2048"/>
      <c r="E158" s="2048"/>
      <c r="F158" s="2048"/>
      <c r="G158" s="2048"/>
      <c r="H158" s="2048"/>
      <c r="I158" s="2048"/>
      <c r="J158" s="2048"/>
      <c r="K158" s="2048"/>
      <c r="L158" s="2048"/>
      <c r="M158" s="2048"/>
      <c r="N158" s="2048"/>
      <c r="O158" s="2048"/>
      <c r="P158" s="2048"/>
      <c r="Q158" s="2048" t="s">
        <v>2282</v>
      </c>
      <c r="R158" s="2048"/>
      <c r="S158" s="2048"/>
      <c r="T158" s="2080" t="s">
        <v>2281</v>
      </c>
      <c r="U158" s="2080"/>
      <c r="V158" s="2080"/>
      <c r="W158" s="2080"/>
      <c r="X158" s="2080"/>
      <c r="Y158" s="2080"/>
      <c r="Z158" s="2080"/>
      <c r="AA158" s="2080"/>
      <c r="AB158" s="2048" t="s">
        <v>2280</v>
      </c>
      <c r="AC158" s="2048"/>
      <c r="AD158" s="2048"/>
      <c r="AE158" s="2048"/>
      <c r="AF158" s="2048"/>
      <c r="AG158" s="2049"/>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2" t="s">
        <v>2279</v>
      </c>
      <c r="D159" s="2063"/>
      <c r="E159" s="2063"/>
      <c r="F159" s="2063"/>
      <c r="G159" s="2063"/>
      <c r="H159" s="2063"/>
      <c r="I159" s="2063"/>
      <c r="J159" s="2063"/>
      <c r="K159" s="2063"/>
      <c r="L159" s="2063"/>
      <c r="M159" s="2063"/>
      <c r="N159" s="2063"/>
      <c r="O159" s="2063"/>
      <c r="P159" s="2063"/>
      <c r="Q159" s="2005">
        <v>55</v>
      </c>
      <c r="R159" s="2005"/>
      <c r="S159" s="2005"/>
      <c r="T159" s="2056"/>
      <c r="U159" s="2056"/>
      <c r="V159" s="2056"/>
      <c r="W159" s="2056"/>
      <c r="X159" s="2056"/>
      <c r="Y159" s="2056"/>
      <c r="Z159" s="2056"/>
      <c r="AA159" s="2056"/>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2" t="s">
        <v>2278</v>
      </c>
      <c r="D160" s="2063"/>
      <c r="E160" s="2063"/>
      <c r="F160" s="2063"/>
      <c r="G160" s="2063"/>
      <c r="H160" s="2063"/>
      <c r="I160" s="2063"/>
      <c r="J160" s="2063"/>
      <c r="K160" s="2063"/>
      <c r="L160" s="2063"/>
      <c r="M160" s="2063"/>
      <c r="N160" s="2063"/>
      <c r="O160" s="2063"/>
      <c r="P160" s="2063"/>
      <c r="Q160" s="2005">
        <v>55</v>
      </c>
      <c r="R160" s="2005"/>
      <c r="S160" s="2005"/>
      <c r="T160" s="2065"/>
      <c r="U160" s="2065"/>
      <c r="V160" s="2065"/>
      <c r="W160" s="2065"/>
      <c r="X160" s="2065"/>
      <c r="Y160" s="2065"/>
      <c r="Z160" s="2065"/>
      <c r="AA160" s="206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2" t="s">
        <v>2277</v>
      </c>
      <c r="D161" s="2063"/>
      <c r="E161" s="2063"/>
      <c r="F161" s="2063"/>
      <c r="G161" s="2063"/>
      <c r="H161" s="2063"/>
      <c r="I161" s="2063"/>
      <c r="J161" s="2063"/>
      <c r="K161" s="2063"/>
      <c r="L161" s="2063"/>
      <c r="M161" s="2063"/>
      <c r="N161" s="2063"/>
      <c r="O161" s="2063"/>
      <c r="P161" s="2063"/>
      <c r="Q161" s="2005">
        <v>55</v>
      </c>
      <c r="R161" s="2005"/>
      <c r="S161" s="2005"/>
      <c r="T161" s="2056"/>
      <c r="U161" s="2056"/>
      <c r="V161" s="2056"/>
      <c r="W161" s="2056"/>
      <c r="X161" s="2056"/>
      <c r="Y161" s="2056"/>
      <c r="Z161" s="2056"/>
      <c r="AA161" s="205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2" t="s">
        <v>2276</v>
      </c>
      <c r="D162" s="2063"/>
      <c r="E162" s="2063"/>
      <c r="F162" s="2063"/>
      <c r="G162" s="2063"/>
      <c r="H162" s="2063"/>
      <c r="I162" s="2063"/>
      <c r="J162" s="2063"/>
      <c r="K162" s="2063"/>
      <c r="L162" s="2063"/>
      <c r="M162" s="2063"/>
      <c r="N162" s="2063"/>
      <c r="O162" s="2063"/>
      <c r="P162" s="2063"/>
      <c r="Q162" s="2005">
        <v>55</v>
      </c>
      <c r="R162" s="2005"/>
      <c r="S162" s="2005"/>
      <c r="T162" s="2056"/>
      <c r="U162" s="2056"/>
      <c r="V162" s="2056"/>
      <c r="W162" s="2056"/>
      <c r="X162" s="2056"/>
      <c r="Y162" s="2056"/>
      <c r="Z162" s="2056"/>
      <c r="AA162" s="2056"/>
      <c r="AB162" s="2066">
        <v>0</v>
      </c>
      <c r="AC162" s="2066"/>
      <c r="AD162" s="2066"/>
      <c r="AE162" s="2066"/>
      <c r="AF162" s="2066"/>
      <c r="AG162" s="2067"/>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2" t="s">
        <v>170</v>
      </c>
      <c r="D163" s="2063"/>
      <c r="E163" s="2063"/>
      <c r="F163" s="2064" t="s">
        <v>2257</v>
      </c>
      <c r="G163" s="2064"/>
      <c r="H163" s="2064"/>
      <c r="I163" s="2064"/>
      <c r="J163" s="2064"/>
      <c r="K163" s="2064"/>
      <c r="L163" s="2064"/>
      <c r="M163" s="2064"/>
      <c r="N163" s="2064"/>
      <c r="O163" s="2064"/>
      <c r="P163" s="2064"/>
      <c r="Q163" s="2005">
        <v>55</v>
      </c>
      <c r="R163" s="2005"/>
      <c r="S163" s="2005"/>
      <c r="T163" s="2065"/>
      <c r="U163" s="2065"/>
      <c r="V163" s="2065"/>
      <c r="W163" s="2065"/>
      <c r="X163" s="2065"/>
      <c r="Y163" s="2065"/>
      <c r="Z163" s="2065"/>
      <c r="AA163" s="2065"/>
      <c r="AB163" s="2066">
        <v>0</v>
      </c>
      <c r="AC163" s="2066"/>
      <c r="AD163" s="2066"/>
      <c r="AE163" s="2066"/>
      <c r="AF163" s="2066"/>
      <c r="AG163" s="2067"/>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2" t="s">
        <v>170</v>
      </c>
      <c r="D164" s="2063"/>
      <c r="E164" s="2063"/>
      <c r="F164" s="2064" t="s">
        <v>2257</v>
      </c>
      <c r="G164" s="2064"/>
      <c r="H164" s="2064"/>
      <c r="I164" s="2064"/>
      <c r="J164" s="2064"/>
      <c r="K164" s="2064"/>
      <c r="L164" s="2064"/>
      <c r="M164" s="2064"/>
      <c r="N164" s="2064"/>
      <c r="O164" s="2064"/>
      <c r="P164" s="2064"/>
      <c r="Q164" s="2005">
        <v>55</v>
      </c>
      <c r="R164" s="2005"/>
      <c r="S164" s="2005"/>
      <c r="T164" s="2065"/>
      <c r="U164" s="2065"/>
      <c r="V164" s="2065"/>
      <c r="W164" s="2065"/>
      <c r="X164" s="2065"/>
      <c r="Y164" s="2065"/>
      <c r="Z164" s="2065"/>
      <c r="AA164" s="2065"/>
      <c r="AB164" s="2066">
        <v>0</v>
      </c>
      <c r="AC164" s="2066"/>
      <c r="AD164" s="2066"/>
      <c r="AE164" s="2066"/>
      <c r="AF164" s="2066"/>
      <c r="AG164" s="2067"/>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8" t="s">
        <v>170</v>
      </c>
      <c r="D165" s="2069"/>
      <c r="E165" s="2069"/>
      <c r="F165" s="2070" t="s">
        <v>2257</v>
      </c>
      <c r="G165" s="2070"/>
      <c r="H165" s="2070"/>
      <c r="I165" s="2070"/>
      <c r="J165" s="2070"/>
      <c r="K165" s="2070"/>
      <c r="L165" s="2070"/>
      <c r="M165" s="2070"/>
      <c r="N165" s="2070"/>
      <c r="O165" s="2070"/>
      <c r="P165" s="2070"/>
      <c r="Q165" s="2071">
        <v>55</v>
      </c>
      <c r="R165" s="2071"/>
      <c r="S165" s="2071"/>
      <c r="T165" s="2072"/>
      <c r="U165" s="2072"/>
      <c r="V165" s="2072"/>
      <c r="W165" s="2072"/>
      <c r="X165" s="2072"/>
      <c r="Y165" s="2072"/>
      <c r="Z165" s="2072"/>
      <c r="AA165" s="2072"/>
      <c r="AB165" s="2073">
        <v>0</v>
      </c>
      <c r="AC165" s="2073"/>
      <c r="AD165" s="2073"/>
      <c r="AE165" s="2073"/>
      <c r="AF165" s="2073"/>
      <c r="AG165" s="207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3" t="s">
        <v>2275</v>
      </c>
      <c r="D167" s="2034"/>
      <c r="E167" s="2034"/>
      <c r="F167" s="2034"/>
      <c r="G167" s="2034"/>
      <c r="H167" s="2034"/>
      <c r="I167" s="2034"/>
      <c r="J167" s="2034"/>
      <c r="K167" s="2034"/>
      <c r="L167" s="2034"/>
      <c r="M167" s="2034"/>
      <c r="N167" s="2043"/>
      <c r="O167" s="1208"/>
      <c r="P167" s="2044" t="s">
        <v>2274</v>
      </c>
      <c r="Q167" s="2045"/>
      <c r="R167" s="2045"/>
      <c r="S167" s="2045"/>
      <c r="T167" s="2045"/>
      <c r="U167" s="2045"/>
      <c r="V167" s="2045"/>
      <c r="W167" s="2045"/>
      <c r="X167" s="2045"/>
      <c r="Y167" s="2045"/>
      <c r="Z167" s="2045"/>
      <c r="AA167" s="2045"/>
      <c r="AB167" s="2045"/>
      <c r="AC167" s="2045"/>
      <c r="AD167" s="2045"/>
      <c r="AE167" s="2045"/>
      <c r="AF167" s="2045"/>
      <c r="AG167" s="2045"/>
      <c r="AH167" s="2045"/>
      <c r="AI167" s="2045"/>
      <c r="AJ167" s="2045"/>
      <c r="AK167" s="2045"/>
      <c r="AL167" s="2045"/>
      <c r="AM167" s="2045"/>
      <c r="AN167" s="2045"/>
      <c r="AO167" s="204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7" t="s">
        <v>2273</v>
      </c>
      <c r="D168" s="2048"/>
      <c r="E168" s="2048"/>
      <c r="F168" s="2048"/>
      <c r="G168" s="2048"/>
      <c r="H168" s="2048"/>
      <c r="I168" s="2048" t="s">
        <v>2272</v>
      </c>
      <c r="J168" s="2048"/>
      <c r="K168" s="2048"/>
      <c r="L168" s="2048"/>
      <c r="M168" s="2048"/>
      <c r="N168" s="2049"/>
      <c r="O168" s="1208"/>
      <c r="P168" s="2050" t="s">
        <v>2271</v>
      </c>
      <c r="Q168" s="2051"/>
      <c r="R168" s="2051"/>
      <c r="S168" s="2051"/>
      <c r="T168" s="2051"/>
      <c r="U168" s="2051"/>
      <c r="V168" s="2051"/>
      <c r="W168" s="2051"/>
      <c r="X168" s="2051"/>
      <c r="Y168" s="2051"/>
      <c r="Z168" s="2051"/>
      <c r="AA168" s="2051"/>
      <c r="AB168" s="2051"/>
      <c r="AC168" s="2051"/>
      <c r="AD168" s="2051"/>
      <c r="AE168" s="2051"/>
      <c r="AF168" s="2051"/>
      <c r="AG168" s="2051"/>
      <c r="AH168" s="2051"/>
      <c r="AI168" s="2051"/>
      <c r="AJ168" s="2051"/>
      <c r="AK168" s="2051"/>
      <c r="AL168" s="2051"/>
      <c r="AM168" s="2051"/>
      <c r="AN168" s="2051"/>
      <c r="AO168" s="2052"/>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5"/>
      <c r="D169" s="1996"/>
      <c r="E169" s="1996"/>
      <c r="F169" s="1996"/>
      <c r="G169" s="1996"/>
      <c r="H169" s="1996"/>
      <c r="I169" s="2056"/>
      <c r="J169" s="2056"/>
      <c r="K169" s="2056"/>
      <c r="L169" s="2056"/>
      <c r="M169" s="2056"/>
      <c r="N169" s="2057"/>
      <c r="O169" s="1208"/>
      <c r="P169" s="2050"/>
      <c r="Q169" s="2051"/>
      <c r="R169" s="2051"/>
      <c r="S169" s="2051"/>
      <c r="T169" s="2051"/>
      <c r="U169" s="2051"/>
      <c r="V169" s="2051"/>
      <c r="W169" s="2051"/>
      <c r="X169" s="2051"/>
      <c r="Y169" s="2051"/>
      <c r="Z169" s="2051"/>
      <c r="AA169" s="2051"/>
      <c r="AB169" s="2051"/>
      <c r="AC169" s="2051"/>
      <c r="AD169" s="2051"/>
      <c r="AE169" s="2051"/>
      <c r="AF169" s="2051"/>
      <c r="AG169" s="2051"/>
      <c r="AH169" s="2051"/>
      <c r="AI169" s="2051"/>
      <c r="AJ169" s="2051"/>
      <c r="AK169" s="2051"/>
      <c r="AL169" s="2051"/>
      <c r="AM169" s="2051"/>
      <c r="AN169" s="2051"/>
      <c r="AO169" s="2052"/>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5"/>
      <c r="D170" s="1996"/>
      <c r="E170" s="1996"/>
      <c r="F170" s="1996"/>
      <c r="G170" s="1996"/>
      <c r="H170" s="1996"/>
      <c r="I170" s="2056"/>
      <c r="J170" s="2056"/>
      <c r="K170" s="2056"/>
      <c r="L170" s="2056"/>
      <c r="M170" s="2056"/>
      <c r="N170" s="2057"/>
      <c r="O170" s="1208"/>
      <c r="P170" s="2050"/>
      <c r="Q170" s="2051"/>
      <c r="R170" s="2051"/>
      <c r="S170" s="2051"/>
      <c r="T170" s="2051"/>
      <c r="U170" s="2051"/>
      <c r="V170" s="2051"/>
      <c r="W170" s="2051"/>
      <c r="X170" s="2051"/>
      <c r="Y170" s="2051"/>
      <c r="Z170" s="2051"/>
      <c r="AA170" s="2051"/>
      <c r="AB170" s="2051"/>
      <c r="AC170" s="2051"/>
      <c r="AD170" s="2051"/>
      <c r="AE170" s="2051"/>
      <c r="AF170" s="2051"/>
      <c r="AG170" s="2051"/>
      <c r="AH170" s="2051"/>
      <c r="AI170" s="2051"/>
      <c r="AJ170" s="2051"/>
      <c r="AK170" s="2051"/>
      <c r="AL170" s="2051"/>
      <c r="AM170" s="2051"/>
      <c r="AN170" s="2051"/>
      <c r="AO170" s="2052"/>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5"/>
      <c r="D171" s="1996"/>
      <c r="E171" s="1996"/>
      <c r="F171" s="1996"/>
      <c r="G171" s="1996"/>
      <c r="H171" s="1996"/>
      <c r="I171" s="2056"/>
      <c r="J171" s="2056"/>
      <c r="K171" s="2056"/>
      <c r="L171" s="2056"/>
      <c r="M171" s="2056"/>
      <c r="N171" s="2057"/>
      <c r="O171" s="1208"/>
      <c r="P171" s="2050"/>
      <c r="Q171" s="2051"/>
      <c r="R171" s="2051"/>
      <c r="S171" s="2051"/>
      <c r="T171" s="2051"/>
      <c r="U171" s="2051"/>
      <c r="V171" s="2051"/>
      <c r="W171" s="2051"/>
      <c r="X171" s="2051"/>
      <c r="Y171" s="2051"/>
      <c r="Z171" s="2051"/>
      <c r="AA171" s="2051"/>
      <c r="AB171" s="2051"/>
      <c r="AC171" s="2051"/>
      <c r="AD171" s="2051"/>
      <c r="AE171" s="2051"/>
      <c r="AF171" s="2051"/>
      <c r="AG171" s="2051"/>
      <c r="AH171" s="2051"/>
      <c r="AI171" s="2051"/>
      <c r="AJ171" s="2051"/>
      <c r="AK171" s="2051"/>
      <c r="AL171" s="2051"/>
      <c r="AM171" s="2051"/>
      <c r="AN171" s="2051"/>
      <c r="AO171" s="2052"/>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5"/>
      <c r="D172" s="1996"/>
      <c r="E172" s="1996"/>
      <c r="F172" s="1996"/>
      <c r="G172" s="1996"/>
      <c r="H172" s="1996"/>
      <c r="I172" s="2056"/>
      <c r="J172" s="2056"/>
      <c r="K172" s="2056"/>
      <c r="L172" s="2056"/>
      <c r="M172" s="2056"/>
      <c r="N172" s="2057"/>
      <c r="O172" s="1208"/>
      <c r="P172" s="2050"/>
      <c r="Q172" s="2051"/>
      <c r="R172" s="2051"/>
      <c r="S172" s="2051"/>
      <c r="T172" s="2051"/>
      <c r="U172" s="2051"/>
      <c r="V172" s="2051"/>
      <c r="W172" s="2051"/>
      <c r="X172" s="2051"/>
      <c r="Y172" s="2051"/>
      <c r="Z172" s="2051"/>
      <c r="AA172" s="2051"/>
      <c r="AB172" s="2051"/>
      <c r="AC172" s="2051"/>
      <c r="AD172" s="2051"/>
      <c r="AE172" s="2051"/>
      <c r="AF172" s="2051"/>
      <c r="AG172" s="2051"/>
      <c r="AH172" s="2051"/>
      <c r="AI172" s="2051"/>
      <c r="AJ172" s="2051"/>
      <c r="AK172" s="2051"/>
      <c r="AL172" s="2051"/>
      <c r="AM172" s="2051"/>
      <c r="AN172" s="2051"/>
      <c r="AO172" s="2052"/>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5"/>
      <c r="D173" s="1996"/>
      <c r="E173" s="1996"/>
      <c r="F173" s="1996"/>
      <c r="G173" s="1996"/>
      <c r="H173" s="1996"/>
      <c r="I173" s="2056"/>
      <c r="J173" s="2056"/>
      <c r="K173" s="2056"/>
      <c r="L173" s="2056"/>
      <c r="M173" s="2056"/>
      <c r="N173" s="2057"/>
      <c r="O173" s="1208"/>
      <c r="P173" s="2050"/>
      <c r="Q173" s="2051"/>
      <c r="R173" s="2051"/>
      <c r="S173" s="2051"/>
      <c r="T173" s="2051"/>
      <c r="U173" s="2051"/>
      <c r="V173" s="2051"/>
      <c r="W173" s="2051"/>
      <c r="X173" s="2051"/>
      <c r="Y173" s="2051"/>
      <c r="Z173" s="2051"/>
      <c r="AA173" s="2051"/>
      <c r="AB173" s="2051"/>
      <c r="AC173" s="2051"/>
      <c r="AD173" s="2051"/>
      <c r="AE173" s="2051"/>
      <c r="AF173" s="2051"/>
      <c r="AG173" s="2051"/>
      <c r="AH173" s="2051"/>
      <c r="AI173" s="2051"/>
      <c r="AJ173" s="2051"/>
      <c r="AK173" s="2051"/>
      <c r="AL173" s="2051"/>
      <c r="AM173" s="2051"/>
      <c r="AN173" s="2051"/>
      <c r="AO173" s="2052"/>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5"/>
      <c r="D174" s="1996"/>
      <c r="E174" s="1996"/>
      <c r="F174" s="1996"/>
      <c r="G174" s="1996"/>
      <c r="H174" s="1996"/>
      <c r="I174" s="2056"/>
      <c r="J174" s="2056"/>
      <c r="K174" s="2056"/>
      <c r="L174" s="2056"/>
      <c r="M174" s="2056"/>
      <c r="N174" s="2057"/>
      <c r="O174" s="1208"/>
      <c r="P174" s="2050"/>
      <c r="Q174" s="2051"/>
      <c r="R174" s="2051"/>
      <c r="S174" s="2051"/>
      <c r="T174" s="2051"/>
      <c r="U174" s="2051"/>
      <c r="V174" s="2051"/>
      <c r="W174" s="2051"/>
      <c r="X174" s="2051"/>
      <c r="Y174" s="2051"/>
      <c r="Z174" s="2051"/>
      <c r="AA174" s="2051"/>
      <c r="AB174" s="2051"/>
      <c r="AC174" s="2051"/>
      <c r="AD174" s="2051"/>
      <c r="AE174" s="2051"/>
      <c r="AF174" s="2051"/>
      <c r="AG174" s="2051"/>
      <c r="AH174" s="2051"/>
      <c r="AI174" s="2051"/>
      <c r="AJ174" s="2051"/>
      <c r="AK174" s="2051"/>
      <c r="AL174" s="2051"/>
      <c r="AM174" s="2051"/>
      <c r="AN174" s="2051"/>
      <c r="AO174" s="2052"/>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8"/>
      <c r="D175" s="2059"/>
      <c r="E175" s="2059"/>
      <c r="F175" s="2059"/>
      <c r="G175" s="2059"/>
      <c r="H175" s="2059"/>
      <c r="I175" s="2060"/>
      <c r="J175" s="2060"/>
      <c r="K175" s="2060"/>
      <c r="L175" s="2060"/>
      <c r="M175" s="2060"/>
      <c r="N175" s="2061"/>
      <c r="O175" s="1208"/>
      <c r="P175" s="2053"/>
      <c r="Q175" s="2054"/>
      <c r="R175" s="2054"/>
      <c r="S175" s="2054"/>
      <c r="T175" s="2054"/>
      <c r="U175" s="2054"/>
      <c r="V175" s="2054"/>
      <c r="W175" s="2054"/>
      <c r="X175" s="2054"/>
      <c r="Y175" s="2054"/>
      <c r="Z175" s="2054"/>
      <c r="AA175" s="2054"/>
      <c r="AB175" s="2054"/>
      <c r="AC175" s="2054"/>
      <c r="AD175" s="2054"/>
      <c r="AE175" s="2054"/>
      <c r="AF175" s="2054"/>
      <c r="AG175" s="2054"/>
      <c r="AH175" s="2054"/>
      <c r="AI175" s="2054"/>
      <c r="AJ175" s="2054"/>
      <c r="AK175" s="2054"/>
      <c r="AL175" s="2054"/>
      <c r="AM175" s="2054"/>
      <c r="AN175" s="2054"/>
      <c r="AO175" s="2055"/>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4" t="s">
        <v>2270</v>
      </c>
      <c r="D177" s="2025"/>
      <c r="E177" s="2025"/>
      <c r="F177" s="2025"/>
      <c r="G177" s="2025"/>
      <c r="H177" s="2025"/>
      <c r="I177" s="2025"/>
      <c r="J177" s="2025"/>
      <c r="K177" s="2025"/>
      <c r="L177" s="2025"/>
      <c r="M177" s="2025"/>
      <c r="N177" s="2025"/>
      <c r="O177" s="2025"/>
      <c r="P177" s="2025"/>
      <c r="Q177" s="2025"/>
      <c r="R177" s="2025"/>
      <c r="S177" s="2025"/>
      <c r="T177" s="2025"/>
      <c r="U177" s="2025"/>
      <c r="V177" s="2025"/>
      <c r="W177" s="2025"/>
      <c r="X177" s="2025"/>
      <c r="Y177" s="2025"/>
      <c r="Z177" s="2025"/>
      <c r="AA177" s="2025"/>
      <c r="AB177" s="2025"/>
      <c r="AC177" s="2025"/>
      <c r="AD177" s="2025"/>
      <c r="AE177" s="2026"/>
      <c r="AF177" s="1208"/>
      <c r="AG177" s="1208"/>
      <c r="AH177" s="1909"/>
      <c r="AI177" s="1909"/>
      <c r="AJ177" s="1909"/>
      <c r="AK177" s="1909"/>
      <c r="AL177" s="1909"/>
      <c r="AM177" s="1909"/>
      <c r="AN177" s="1909"/>
      <c r="AO177" s="1909"/>
      <c r="AP177" s="1909"/>
      <c r="AQ177" s="1909"/>
      <c r="AR177" s="1909"/>
      <c r="AS177" s="1909"/>
      <c r="AT177" s="1909"/>
      <c r="AU177" s="1909"/>
      <c r="AV177" s="1909"/>
      <c r="AW177" s="1909"/>
      <c r="AX177" s="1909"/>
      <c r="AY177" s="1909"/>
      <c r="AZ177" s="1909"/>
      <c r="BA177" s="1909"/>
      <c r="BB177" s="1909"/>
      <c r="BC177" s="1909"/>
      <c r="BD177" s="1909"/>
      <c r="BE177" s="1909"/>
    </row>
    <row r="178" spans="1:57" ht="15.75" customHeight="1" thickBot="1">
      <c r="A178" s="1208"/>
      <c r="B178" s="1208"/>
      <c r="C178" s="2027"/>
      <c r="D178" s="2028"/>
      <c r="E178" s="2028"/>
      <c r="F178" s="2028"/>
      <c r="G178" s="2028"/>
      <c r="H178" s="2028"/>
      <c r="I178" s="2028"/>
      <c r="J178" s="2028"/>
      <c r="K178" s="2028"/>
      <c r="L178" s="2028"/>
      <c r="M178" s="2028"/>
      <c r="N178" s="2028"/>
      <c r="O178" s="2028"/>
      <c r="P178" s="2028"/>
      <c r="Q178" s="2028"/>
      <c r="R178" s="2028"/>
      <c r="S178" s="2028"/>
      <c r="T178" s="2028"/>
      <c r="U178" s="2028"/>
      <c r="V178" s="2028"/>
      <c r="W178" s="2028"/>
      <c r="X178" s="2028"/>
      <c r="Y178" s="2028"/>
      <c r="Z178" s="2028"/>
      <c r="AA178" s="2028"/>
      <c r="AB178" s="2028"/>
      <c r="AC178" s="2028"/>
      <c r="AD178" s="2028"/>
      <c r="AE178" s="2029"/>
      <c r="AF178" s="1208"/>
      <c r="AG178" s="1208"/>
      <c r="AH178" s="1909"/>
      <c r="AI178" s="1909"/>
      <c r="AJ178" s="1909"/>
      <c r="AK178" s="1909"/>
      <c r="AL178" s="1909"/>
      <c r="AM178" s="1909"/>
      <c r="AN178" s="1909"/>
      <c r="AO178" s="1909"/>
      <c r="AP178" s="1909"/>
      <c r="AQ178" s="1909"/>
      <c r="AR178" s="1909"/>
      <c r="AS178" s="1909"/>
      <c r="AT178" s="1909"/>
      <c r="AU178" s="1909"/>
      <c r="AV178" s="1909"/>
      <c r="AW178" s="1909"/>
      <c r="AX178" s="1909"/>
      <c r="AY178" s="1909"/>
      <c r="AZ178" s="1909"/>
      <c r="BA178" s="1909"/>
      <c r="BB178" s="1909"/>
      <c r="BC178" s="1909"/>
      <c r="BD178" s="1909"/>
      <c r="BE178" s="1909"/>
    </row>
    <row r="179" spans="1:57" ht="15.75" customHeight="1">
      <c r="A179" s="1208"/>
      <c r="B179" s="1208"/>
      <c r="C179" s="2033" t="s">
        <v>2268</v>
      </c>
      <c r="D179" s="2034"/>
      <c r="E179" s="2034"/>
      <c r="F179" s="2034"/>
      <c r="G179" s="2034"/>
      <c r="H179" s="2034"/>
      <c r="I179" s="2034"/>
      <c r="J179" s="2034"/>
      <c r="K179" s="2034"/>
      <c r="L179" s="2034"/>
      <c r="M179" s="2034"/>
      <c r="N179" s="2034" t="s">
        <v>2269</v>
      </c>
      <c r="O179" s="2034"/>
      <c r="P179" s="2034"/>
      <c r="Q179" s="2034"/>
      <c r="R179" s="2034"/>
      <c r="S179" s="2034"/>
      <c r="T179" s="2034"/>
      <c r="U179" s="2035" t="s">
        <v>2268</v>
      </c>
      <c r="V179" s="2035"/>
      <c r="W179" s="2035"/>
      <c r="X179" s="2035"/>
      <c r="Y179" s="2035"/>
      <c r="Z179" s="2035"/>
      <c r="AA179" s="2035"/>
      <c r="AB179" s="2035"/>
      <c r="AC179" s="2035"/>
      <c r="AD179" s="2035"/>
      <c r="AE179" s="2036"/>
      <c r="AF179" s="1208"/>
      <c r="AG179" s="1208"/>
      <c r="AH179" s="1909"/>
      <c r="AI179" s="1909"/>
      <c r="AJ179" s="1909"/>
      <c r="AK179" s="1909"/>
      <c r="AL179" s="1909"/>
      <c r="AM179" s="1909"/>
      <c r="AN179" s="1909"/>
      <c r="AO179" s="1909"/>
      <c r="AP179" s="1909"/>
      <c r="AQ179" s="1909"/>
      <c r="AR179" s="1909"/>
      <c r="AS179" s="1909"/>
      <c r="AT179" s="1909"/>
      <c r="AU179" s="1909"/>
      <c r="AV179" s="1909"/>
      <c r="AW179" s="1909"/>
      <c r="AX179" s="1909"/>
      <c r="AY179" s="1909"/>
      <c r="AZ179" s="1909"/>
      <c r="BA179" s="1909"/>
      <c r="BB179" s="1909"/>
      <c r="BC179" s="1909"/>
      <c r="BD179" s="1909"/>
      <c r="BE179" s="1909"/>
    </row>
    <row r="180" spans="1:57" ht="15.75" customHeight="1">
      <c r="A180" s="1208"/>
      <c r="B180" s="1208"/>
      <c r="C180" s="2012" t="s">
        <v>2267</v>
      </c>
      <c r="D180" s="2013"/>
      <c r="E180" s="2013"/>
      <c r="F180" s="2013"/>
      <c r="G180" s="2013"/>
      <c r="H180" s="2013"/>
      <c r="I180" s="2013"/>
      <c r="J180" s="2013"/>
      <c r="K180" s="2013"/>
      <c r="L180" s="2013"/>
      <c r="M180" s="2013"/>
      <c r="N180" s="2023">
        <f>'Sources and Uses Budget'!B105</f>
        <v>72517160</v>
      </c>
      <c r="O180" s="2023"/>
      <c r="P180" s="2023"/>
      <c r="Q180" s="2023"/>
      <c r="R180" s="2023"/>
      <c r="S180" s="2023"/>
      <c r="T180" s="2023"/>
      <c r="U180" s="2037"/>
      <c r="V180" s="2037"/>
      <c r="W180" s="2037"/>
      <c r="X180" s="2037"/>
      <c r="Y180" s="2037"/>
      <c r="Z180" s="2037"/>
      <c r="AA180" s="2037"/>
      <c r="AB180" s="2037"/>
      <c r="AC180" s="2037"/>
      <c r="AD180" s="2037"/>
      <c r="AE180" s="2038"/>
      <c r="AF180" s="1208"/>
      <c r="AG180" s="1208"/>
      <c r="AH180" s="1909"/>
      <c r="AI180" s="1909"/>
      <c r="AJ180" s="1909"/>
      <c r="AK180" s="1909"/>
      <c r="AL180" s="1909"/>
      <c r="AM180" s="1909"/>
      <c r="AN180" s="1909"/>
      <c r="AO180" s="1909"/>
      <c r="AP180" s="1909"/>
      <c r="AQ180" s="1909"/>
      <c r="AR180" s="1909"/>
      <c r="AS180" s="1909"/>
      <c r="AT180" s="1909"/>
      <c r="AU180" s="1909"/>
      <c r="AV180" s="1909"/>
      <c r="AW180" s="1909"/>
      <c r="AX180" s="1909"/>
      <c r="AY180" s="1909"/>
      <c r="AZ180" s="1909"/>
      <c r="BA180" s="1909"/>
      <c r="BB180" s="1909"/>
      <c r="BC180" s="1909"/>
      <c r="BD180" s="1909"/>
      <c r="BE180" s="1909"/>
    </row>
    <row r="181" spans="1:57" ht="15.75" customHeight="1">
      <c r="A181" s="1208"/>
      <c r="B181" s="1208"/>
      <c r="C181" s="2012" t="s">
        <v>2266</v>
      </c>
      <c r="D181" s="2013"/>
      <c r="E181" s="2013"/>
      <c r="F181" s="2013"/>
      <c r="G181" s="2013"/>
      <c r="H181" s="2013"/>
      <c r="I181" s="2013"/>
      <c r="J181" s="2013"/>
      <c r="K181" s="2013"/>
      <c r="L181" s="2013"/>
      <c r="M181" s="2013"/>
      <c r="N181" s="2023">
        <f>N180/J29</f>
        <v>326653.87387387385</v>
      </c>
      <c r="O181" s="2023"/>
      <c r="P181" s="2023"/>
      <c r="Q181" s="2023"/>
      <c r="R181" s="2023"/>
      <c r="S181" s="2023"/>
      <c r="T181" s="2023"/>
      <c r="U181" s="1248"/>
      <c r="V181" s="1248"/>
      <c r="W181" s="1248"/>
      <c r="X181" s="1248"/>
      <c r="Y181" s="1248"/>
      <c r="Z181" s="1248"/>
      <c r="AA181" s="1248"/>
      <c r="AB181" s="1248"/>
      <c r="AC181" s="1248"/>
      <c r="AD181" s="1248"/>
      <c r="AE181" s="1249"/>
      <c r="AF181" s="1208"/>
      <c r="AG181" s="1208"/>
      <c r="AH181" s="1909"/>
      <c r="AI181" s="1909"/>
      <c r="AJ181" s="1909"/>
      <c r="AK181" s="1909"/>
      <c r="AL181" s="1909"/>
      <c r="AM181" s="1909"/>
      <c r="AN181" s="1909"/>
      <c r="AO181" s="1909"/>
      <c r="AP181" s="1909"/>
      <c r="AQ181" s="1909"/>
      <c r="AR181" s="1909"/>
      <c r="AS181" s="1909"/>
      <c r="AT181" s="1909"/>
      <c r="AU181" s="1909"/>
      <c r="AV181" s="1909"/>
      <c r="AW181" s="1909"/>
      <c r="AX181" s="1909"/>
      <c r="AY181" s="1909"/>
      <c r="AZ181" s="1909"/>
      <c r="BA181" s="1909"/>
      <c r="BB181" s="1909"/>
      <c r="BC181" s="1909"/>
      <c r="BD181" s="1909"/>
      <c r="BE181" s="1909"/>
    </row>
    <row r="182" spans="1:57" ht="15.75" customHeight="1">
      <c r="A182" s="1208"/>
      <c r="B182" s="1208"/>
      <c r="C182" s="2039" t="s">
        <v>2265</v>
      </c>
      <c r="D182" s="2040"/>
      <c r="E182" s="2040"/>
      <c r="F182" s="2040"/>
      <c r="G182" s="2040"/>
      <c r="H182" s="2040"/>
      <c r="I182" s="2040"/>
      <c r="J182" s="2040"/>
      <c r="K182" s="2040"/>
      <c r="L182" s="2040"/>
      <c r="M182" s="2040"/>
      <c r="N182" s="2041">
        <v>0</v>
      </c>
      <c r="O182" s="2041"/>
      <c r="P182" s="2041"/>
      <c r="Q182" s="2041"/>
      <c r="R182" s="2041"/>
      <c r="S182" s="2041"/>
      <c r="T182" s="2041"/>
      <c r="U182" s="1999"/>
      <c r="V182" s="1999"/>
      <c r="W182" s="1999"/>
      <c r="X182" s="1999"/>
      <c r="Y182" s="1999"/>
      <c r="Z182" s="1999"/>
      <c r="AA182" s="1999"/>
      <c r="AB182" s="1999"/>
      <c r="AC182" s="1999"/>
      <c r="AD182" s="1999"/>
      <c r="AE182" s="2000"/>
      <c r="AF182" s="1208"/>
      <c r="AG182" s="1208"/>
      <c r="AH182" s="1909"/>
      <c r="AI182" s="1909"/>
      <c r="AJ182" s="1909"/>
      <c r="AK182" s="1909"/>
      <c r="AL182" s="1909"/>
      <c r="AM182" s="1909"/>
      <c r="AN182" s="1909"/>
      <c r="AO182" s="1909"/>
      <c r="AP182" s="1909"/>
      <c r="AQ182" s="1909"/>
      <c r="AR182" s="1909"/>
      <c r="AS182" s="1909"/>
      <c r="AT182" s="1909"/>
      <c r="AU182" s="1909"/>
      <c r="AV182" s="1909"/>
      <c r="AW182" s="1909"/>
      <c r="AX182" s="1909"/>
      <c r="AY182" s="1909"/>
      <c r="AZ182" s="1909"/>
      <c r="BA182" s="1909"/>
      <c r="BB182" s="1909"/>
      <c r="BC182" s="1909"/>
      <c r="BD182" s="1909"/>
      <c r="BE182" s="1909"/>
    </row>
    <row r="183" spans="1:57" ht="15.75" customHeight="1" thickBot="1">
      <c r="A183" s="1208"/>
      <c r="B183" s="1208"/>
      <c r="C183" s="2012" t="s">
        <v>2264</v>
      </c>
      <c r="D183" s="2013"/>
      <c r="E183" s="2013"/>
      <c r="F183" s="2013"/>
      <c r="G183" s="2013"/>
      <c r="H183" s="2013"/>
      <c r="I183" s="2013"/>
      <c r="J183" s="2013"/>
      <c r="K183" s="2013"/>
      <c r="L183" s="2013"/>
      <c r="M183" s="2013"/>
      <c r="N183" s="2042">
        <f>SUM('Sources and Uses Budget'!B85:B86)</f>
        <v>100000</v>
      </c>
      <c r="O183" s="2042"/>
      <c r="P183" s="2042"/>
      <c r="Q183" s="2042"/>
      <c r="R183" s="2042"/>
      <c r="S183" s="2042"/>
      <c r="T183" s="2042"/>
      <c r="U183" s="1999"/>
      <c r="V183" s="1999"/>
      <c r="W183" s="1999"/>
      <c r="X183" s="1999"/>
      <c r="Y183" s="1999"/>
      <c r="Z183" s="1999"/>
      <c r="AA183" s="1999"/>
      <c r="AB183" s="1999"/>
      <c r="AC183" s="1999"/>
      <c r="AD183" s="1999"/>
      <c r="AE183" s="2000"/>
      <c r="AF183" s="1208"/>
      <c r="AG183" s="1208"/>
      <c r="AH183" s="1909"/>
      <c r="AI183" s="1909"/>
      <c r="AJ183" s="1909"/>
      <c r="AK183" s="1909"/>
      <c r="AL183" s="1909"/>
      <c r="AM183" s="1909"/>
      <c r="AN183" s="1909"/>
      <c r="AO183" s="1909"/>
      <c r="AP183" s="1909"/>
      <c r="AQ183" s="1909"/>
      <c r="AR183" s="1909"/>
      <c r="AS183" s="1909"/>
      <c r="AT183" s="1909"/>
      <c r="AU183" s="1909"/>
      <c r="AV183" s="1909"/>
      <c r="AW183" s="1909"/>
      <c r="AX183" s="1909"/>
      <c r="AY183" s="1909"/>
      <c r="AZ183" s="1909"/>
      <c r="BA183" s="1909"/>
      <c r="BB183" s="1909"/>
      <c r="BC183" s="1909"/>
      <c r="BD183" s="1909"/>
      <c r="BE183" s="1909"/>
    </row>
    <row r="184" spans="1:57" ht="15.75" customHeight="1" thickBot="1">
      <c r="A184" s="1208"/>
      <c r="B184" s="1208"/>
      <c r="C184" s="2012" t="s">
        <v>2263</v>
      </c>
      <c r="D184" s="2013"/>
      <c r="E184" s="2013"/>
      <c r="F184" s="2013"/>
      <c r="G184" s="2013"/>
      <c r="H184" s="2013"/>
      <c r="I184" s="2013"/>
      <c r="J184" s="2013"/>
      <c r="K184" s="2013"/>
      <c r="L184" s="2013"/>
      <c r="M184" s="2013"/>
      <c r="N184" s="2042">
        <f>'Sources and Uses Budget'!B8</f>
        <v>3753151</v>
      </c>
      <c r="O184" s="2042"/>
      <c r="P184" s="2042"/>
      <c r="Q184" s="2042"/>
      <c r="R184" s="2042"/>
      <c r="S184" s="2042"/>
      <c r="T184" s="2042"/>
      <c r="U184" s="1999"/>
      <c r="V184" s="1999"/>
      <c r="W184" s="1999"/>
      <c r="X184" s="1999"/>
      <c r="Y184" s="1999"/>
      <c r="Z184" s="1999"/>
      <c r="AA184" s="1999"/>
      <c r="AB184" s="1999"/>
      <c r="AC184" s="1999"/>
      <c r="AD184" s="1999"/>
      <c r="AE184" s="2000"/>
      <c r="AF184" s="1208"/>
      <c r="AG184" s="1208"/>
      <c r="AH184" s="2009" t="s">
        <v>2261</v>
      </c>
      <c r="AI184" s="2010"/>
      <c r="AJ184" s="2010"/>
      <c r="AK184" s="2010"/>
      <c r="AL184" s="2010"/>
      <c r="AM184" s="2010"/>
      <c r="AN184" s="2010"/>
      <c r="AO184" s="2010"/>
      <c r="AP184" s="2010"/>
      <c r="AQ184" s="2010"/>
      <c r="AR184" s="2010"/>
      <c r="AS184" s="2010"/>
      <c r="AT184" s="2010"/>
      <c r="AU184" s="2010"/>
      <c r="AV184" s="2010"/>
      <c r="AW184" s="2010"/>
      <c r="AX184" s="2010"/>
      <c r="AY184" s="2010"/>
      <c r="AZ184" s="2010"/>
      <c r="BA184" s="2010"/>
      <c r="BB184" s="2010"/>
      <c r="BC184" s="2010"/>
      <c r="BD184" s="2010"/>
      <c r="BE184" s="2011"/>
    </row>
    <row r="185" spans="1:57" ht="15.75" customHeight="1">
      <c r="A185" s="1208"/>
      <c r="B185" s="1208"/>
      <c r="C185" s="2012" t="s">
        <v>2262</v>
      </c>
      <c r="D185" s="2013"/>
      <c r="E185" s="2013"/>
      <c r="F185" s="2013"/>
      <c r="G185" s="2013"/>
      <c r="H185" s="2013"/>
      <c r="I185" s="2013"/>
      <c r="J185" s="2013"/>
      <c r="K185" s="2013"/>
      <c r="L185" s="2013"/>
      <c r="M185" s="2013"/>
      <c r="N185" s="1998">
        <v>0</v>
      </c>
      <c r="O185" s="1998"/>
      <c r="P185" s="1998"/>
      <c r="Q185" s="1998"/>
      <c r="R185" s="1998"/>
      <c r="S185" s="1998"/>
      <c r="T185" s="1998"/>
      <c r="U185" s="1999"/>
      <c r="V185" s="1999"/>
      <c r="W185" s="1999"/>
      <c r="X185" s="1999"/>
      <c r="Y185" s="1999"/>
      <c r="Z185" s="1999"/>
      <c r="AA185" s="1999"/>
      <c r="AB185" s="1999"/>
      <c r="AC185" s="1999"/>
      <c r="AD185" s="1999"/>
      <c r="AE185" s="2000"/>
      <c r="AF185" s="1208"/>
      <c r="AG185" s="1208"/>
      <c r="AH185" s="2014" t="s">
        <v>2261</v>
      </c>
      <c r="AI185" s="2015"/>
      <c r="AJ185" s="2015"/>
      <c r="AK185" s="2015"/>
      <c r="AL185" s="2015"/>
      <c r="AM185" s="2015"/>
      <c r="AN185" s="2015"/>
      <c r="AO185" s="2015"/>
      <c r="AP185" s="2015"/>
      <c r="AQ185" s="2015"/>
      <c r="AR185" s="2015"/>
      <c r="AS185" s="2015"/>
      <c r="AT185" s="2015"/>
      <c r="AU185" s="2016">
        <v>0</v>
      </c>
      <c r="AV185" s="2016"/>
      <c r="AW185" s="2016"/>
      <c r="AX185" s="2016"/>
      <c r="AY185" s="2016"/>
      <c r="AZ185" s="2016"/>
      <c r="BA185" s="2016"/>
      <c r="BB185" s="2016"/>
      <c r="BC185" s="2017"/>
      <c r="BD185" s="2018"/>
      <c r="BE185" s="2019"/>
    </row>
    <row r="186" spans="1:57" ht="15.75" customHeight="1">
      <c r="A186" s="1208"/>
      <c r="B186" s="1208"/>
      <c r="C186" s="2012" t="s">
        <v>2260</v>
      </c>
      <c r="D186" s="2013"/>
      <c r="E186" s="2013"/>
      <c r="F186" s="2013"/>
      <c r="G186" s="2013"/>
      <c r="H186" s="2013"/>
      <c r="I186" s="2013"/>
      <c r="J186" s="2013"/>
      <c r="K186" s="2013"/>
      <c r="L186" s="2013"/>
      <c r="M186" s="2013"/>
      <c r="N186" s="1998">
        <v>0</v>
      </c>
      <c r="O186" s="1998"/>
      <c r="P186" s="1998"/>
      <c r="Q186" s="1998"/>
      <c r="R186" s="1998"/>
      <c r="S186" s="1998"/>
      <c r="T186" s="1998"/>
      <c r="U186" s="1999"/>
      <c r="V186" s="1999"/>
      <c r="W186" s="1999"/>
      <c r="X186" s="1999"/>
      <c r="Y186" s="1999"/>
      <c r="Z186" s="1999"/>
      <c r="AA186" s="1999"/>
      <c r="AB186" s="1999"/>
      <c r="AC186" s="1999"/>
      <c r="AD186" s="1999"/>
      <c r="AE186" s="2000"/>
      <c r="AF186" s="1208"/>
      <c r="AG186" s="1208"/>
      <c r="AH186" s="2030" t="s">
        <v>2259</v>
      </c>
      <c r="AI186" s="2031"/>
      <c r="AJ186" s="2031"/>
      <c r="AK186" s="2031"/>
      <c r="AL186" s="2031"/>
      <c r="AM186" s="2031"/>
      <c r="AN186" s="2031"/>
      <c r="AO186" s="2031"/>
      <c r="AP186" s="2031"/>
      <c r="AQ186" s="2031"/>
      <c r="AR186" s="2031"/>
      <c r="AS186" s="2031"/>
      <c r="AT186" s="2031"/>
      <c r="AU186" s="2032"/>
      <c r="AV186" s="2032"/>
      <c r="AW186" s="2032"/>
      <c r="AX186" s="2032"/>
      <c r="AY186" s="2032"/>
      <c r="AZ186" s="2032"/>
      <c r="BA186" s="2032"/>
      <c r="BB186" s="2032"/>
      <c r="BC186" s="2020"/>
      <c r="BD186" s="2021"/>
      <c r="BE186" s="2022"/>
    </row>
    <row r="187" spans="1:57" ht="15.75" customHeight="1">
      <c r="A187" s="1208"/>
      <c r="B187" s="1208"/>
      <c r="C187" s="2004" t="s">
        <v>300</v>
      </c>
      <c r="D187" s="2005"/>
      <c r="E187" s="1997" t="s">
        <v>2257</v>
      </c>
      <c r="F187" s="1997"/>
      <c r="G187" s="1997"/>
      <c r="H187" s="1997"/>
      <c r="I187" s="1997"/>
      <c r="J187" s="1997"/>
      <c r="K187" s="1997"/>
      <c r="L187" s="1997"/>
      <c r="M187" s="1997"/>
      <c r="N187" s="1998">
        <v>0</v>
      </c>
      <c r="O187" s="1998"/>
      <c r="P187" s="1998"/>
      <c r="Q187" s="1998"/>
      <c r="R187" s="1998"/>
      <c r="S187" s="1998"/>
      <c r="T187" s="1998"/>
      <c r="U187" s="1999"/>
      <c r="V187" s="1999"/>
      <c r="W187" s="1999"/>
      <c r="X187" s="1999"/>
      <c r="Y187" s="1999"/>
      <c r="Z187" s="1999"/>
      <c r="AA187" s="1999"/>
      <c r="AB187" s="1999"/>
      <c r="AC187" s="1999"/>
      <c r="AD187" s="1999"/>
      <c r="AE187" s="2000"/>
      <c r="AF187" s="1208"/>
      <c r="AG187" s="1208"/>
      <c r="AH187" s="2006" t="s">
        <v>2258</v>
      </c>
      <c r="AI187" s="2007"/>
      <c r="AJ187" s="2007"/>
      <c r="AK187" s="2007"/>
      <c r="AL187" s="2007"/>
      <c r="AM187" s="2007"/>
      <c r="AN187" s="2007"/>
      <c r="AO187" s="2007"/>
      <c r="AP187" s="2007"/>
      <c r="AQ187" s="2007"/>
      <c r="AR187" s="2007"/>
      <c r="AS187" s="2007"/>
      <c r="AT187" s="2007"/>
      <c r="AU187" s="2008">
        <f>SUM(AU185:BB186)</f>
        <v>0</v>
      </c>
      <c r="AV187" s="2008"/>
      <c r="AW187" s="2008"/>
      <c r="AX187" s="2008"/>
      <c r="AY187" s="2008"/>
      <c r="AZ187" s="2008"/>
      <c r="BA187" s="2008"/>
      <c r="BB187" s="2008"/>
      <c r="BC187" s="2020"/>
      <c r="BD187" s="2021"/>
      <c r="BE187" s="2022"/>
    </row>
    <row r="188" spans="1:57" ht="15.75" customHeight="1" thickBot="1">
      <c r="A188" s="1208"/>
      <c r="B188" s="1208"/>
      <c r="C188" s="1995" t="s">
        <v>300</v>
      </c>
      <c r="D188" s="1996"/>
      <c r="E188" s="1997" t="s">
        <v>2257</v>
      </c>
      <c r="F188" s="1997"/>
      <c r="G188" s="1997"/>
      <c r="H188" s="1997"/>
      <c r="I188" s="1997"/>
      <c r="J188" s="1997"/>
      <c r="K188" s="1997"/>
      <c r="L188" s="1997"/>
      <c r="M188" s="1997"/>
      <c r="N188" s="1998">
        <v>0</v>
      </c>
      <c r="O188" s="1998"/>
      <c r="P188" s="1998"/>
      <c r="Q188" s="1998"/>
      <c r="R188" s="1998"/>
      <c r="S188" s="1998"/>
      <c r="T188" s="1998"/>
      <c r="U188" s="1999"/>
      <c r="V188" s="1999"/>
      <c r="W188" s="1999"/>
      <c r="X188" s="1999"/>
      <c r="Y188" s="1999"/>
      <c r="Z188" s="1999"/>
      <c r="AA188" s="1999"/>
      <c r="AB188" s="1999"/>
      <c r="AC188" s="1999"/>
      <c r="AD188" s="1999"/>
      <c r="AE188" s="200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1"/>
      <c r="BD188" s="2002"/>
      <c r="BE188" s="2003"/>
    </row>
    <row r="189" spans="1:57" ht="15.75" customHeight="1" thickBot="1">
      <c r="A189" s="1208"/>
      <c r="B189" s="1208"/>
      <c r="C189" s="1983" t="s">
        <v>300</v>
      </c>
      <c r="D189" s="1984"/>
      <c r="E189" s="1985" t="s">
        <v>2257</v>
      </c>
      <c r="F189" s="1985"/>
      <c r="G189" s="1985"/>
      <c r="H189" s="1985"/>
      <c r="I189" s="1985"/>
      <c r="J189" s="1985"/>
      <c r="K189" s="1985"/>
      <c r="L189" s="1985"/>
      <c r="M189" s="1986"/>
      <c r="N189" s="1987">
        <v>0</v>
      </c>
      <c r="O189" s="1987"/>
      <c r="P189" s="1987"/>
      <c r="Q189" s="1987"/>
      <c r="R189" s="1987"/>
      <c r="S189" s="1987"/>
      <c r="T189" s="1988"/>
      <c r="U189" s="1989"/>
      <c r="V189" s="1990"/>
      <c r="W189" s="1990"/>
      <c r="X189" s="1990"/>
      <c r="Y189" s="1990"/>
      <c r="Z189" s="1990"/>
      <c r="AA189" s="1990"/>
      <c r="AB189" s="1990"/>
      <c r="AC189" s="1990"/>
      <c r="AD189" s="1990"/>
      <c r="AE189" s="1991"/>
      <c r="AF189" s="1208"/>
      <c r="AG189" s="1208"/>
      <c r="AH189" s="1992" t="s">
        <v>2256</v>
      </c>
      <c r="AI189" s="1993"/>
      <c r="AJ189" s="1993"/>
      <c r="AK189" s="1993"/>
      <c r="AL189" s="1993"/>
      <c r="AM189" s="1993"/>
      <c r="AN189" s="1993"/>
      <c r="AO189" s="1993"/>
      <c r="AP189" s="1993"/>
      <c r="AQ189" s="1993"/>
      <c r="AR189" s="1993"/>
      <c r="AS189" s="1993"/>
      <c r="AT189" s="1993"/>
      <c r="AU189" s="1994"/>
      <c r="AV189" s="1994"/>
      <c r="AW189" s="1994"/>
      <c r="AX189" s="1994"/>
      <c r="AY189" s="1994"/>
      <c r="AZ189" s="1994"/>
      <c r="BA189" s="1994"/>
      <c r="BB189" s="1994"/>
      <c r="BC189" s="1164"/>
      <c r="BD189" s="1164"/>
      <c r="BE189" s="1252"/>
    </row>
    <row r="190" spans="1:57" ht="15.75" customHeight="1">
      <c r="A190" s="1208"/>
      <c r="B190" s="1208"/>
      <c r="C190" s="1966" t="s">
        <v>2255</v>
      </c>
      <c r="D190" s="1967"/>
      <c r="E190" s="1967"/>
      <c r="F190" s="1967"/>
      <c r="G190" s="1967"/>
      <c r="H190" s="1967"/>
      <c r="I190" s="1967"/>
      <c r="J190" s="1967"/>
      <c r="K190" s="1967"/>
      <c r="L190" s="1967"/>
      <c r="M190" s="1967"/>
      <c r="N190" s="1968">
        <f>SUM(N182:T189)</f>
        <v>3853151</v>
      </c>
      <c r="O190" s="1968"/>
      <c r="P190" s="1968"/>
      <c r="Q190" s="1968"/>
      <c r="R190" s="1968"/>
      <c r="S190" s="1968"/>
      <c r="T190" s="1969"/>
      <c r="U190" s="1208"/>
      <c r="V190" s="1208"/>
      <c r="W190" s="1208"/>
      <c r="X190" s="1208"/>
      <c r="Y190" s="1208"/>
      <c r="Z190" s="1208"/>
      <c r="AA190" s="1208"/>
      <c r="AB190" s="1208"/>
      <c r="AC190" s="1208"/>
      <c r="AD190" s="1208"/>
      <c r="AE190" s="1208"/>
      <c r="AF190" s="1208"/>
      <c r="AG190" s="1208"/>
      <c r="AH190" s="1970" t="s">
        <v>2254</v>
      </c>
      <c r="AI190" s="1971"/>
      <c r="AJ190" s="1971"/>
      <c r="AK190" s="1971"/>
      <c r="AL190" s="1971"/>
      <c r="AM190" s="1971"/>
      <c r="AN190" s="1971"/>
      <c r="AO190" s="1971"/>
      <c r="AP190" s="1971"/>
      <c r="AQ190" s="1971"/>
      <c r="AR190" s="1971"/>
      <c r="AS190" s="1971"/>
      <c r="AT190" s="1971"/>
      <c r="AU190" s="1971"/>
      <c r="AV190" s="1971"/>
      <c r="AW190" s="1971"/>
      <c r="AX190" s="1971"/>
      <c r="AY190" s="1971"/>
      <c r="AZ190" s="1971"/>
      <c r="BA190" s="1971"/>
      <c r="BB190" s="1971"/>
      <c r="BC190" s="1971"/>
      <c r="BD190" s="1971"/>
      <c r="BE190" s="1972"/>
    </row>
    <row r="191" spans="1:57" ht="15.75" customHeight="1" thickBot="1">
      <c r="A191" s="1208"/>
      <c r="B191" s="1208"/>
      <c r="C191" s="1976" t="s">
        <v>2253</v>
      </c>
      <c r="D191" s="1977"/>
      <c r="E191" s="1977"/>
      <c r="F191" s="1977"/>
      <c r="G191" s="1977"/>
      <c r="H191" s="1977"/>
      <c r="I191" s="1977"/>
      <c r="J191" s="1977"/>
      <c r="K191" s="1977"/>
      <c r="L191" s="1977"/>
      <c r="M191" s="1977"/>
      <c r="N191" s="1978">
        <f>(N180-N190)/J29</f>
        <v>309297.33783783781</v>
      </c>
      <c r="O191" s="1979"/>
      <c r="P191" s="1979"/>
      <c r="Q191" s="1979"/>
      <c r="R191" s="1979"/>
      <c r="S191" s="1979"/>
      <c r="T191" s="1980"/>
      <c r="U191" s="1216"/>
      <c r="V191" s="1208"/>
      <c r="W191" s="1208"/>
      <c r="X191" s="1208"/>
      <c r="Y191" s="1208"/>
      <c r="Z191" s="1208"/>
      <c r="AA191" s="1208"/>
      <c r="AB191" s="1208"/>
      <c r="AC191" s="1208"/>
      <c r="AD191" s="1208"/>
      <c r="AE191" s="1208"/>
      <c r="AF191" s="1208"/>
      <c r="AG191" s="1208"/>
      <c r="AH191" s="1973"/>
      <c r="AI191" s="1974"/>
      <c r="AJ191" s="1974"/>
      <c r="AK191" s="1974"/>
      <c r="AL191" s="1974"/>
      <c r="AM191" s="1974"/>
      <c r="AN191" s="1974"/>
      <c r="AO191" s="1974"/>
      <c r="AP191" s="1974"/>
      <c r="AQ191" s="1974"/>
      <c r="AR191" s="1974"/>
      <c r="AS191" s="1974"/>
      <c r="AT191" s="1974"/>
      <c r="AU191" s="1974"/>
      <c r="AV191" s="1974"/>
      <c r="AW191" s="1974"/>
      <c r="AX191" s="1974"/>
      <c r="AY191" s="1974"/>
      <c r="AZ191" s="1974"/>
      <c r="BA191" s="1974"/>
      <c r="BB191" s="1974"/>
      <c r="BC191" s="1974"/>
      <c r="BD191" s="1974"/>
      <c r="BE191" s="197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1"/>
      <c r="AI192" s="1981"/>
      <c r="AJ192" s="1981"/>
      <c r="AK192" s="1981"/>
      <c r="AL192" s="1981"/>
      <c r="AM192" s="1981"/>
      <c r="AN192" s="1981"/>
      <c r="AO192" s="1981"/>
      <c r="AP192" s="1981"/>
      <c r="AQ192" s="1981"/>
      <c r="AR192" s="1981"/>
      <c r="AS192" s="1982"/>
      <c r="AT192" s="1982"/>
      <c r="AU192" s="1982"/>
      <c r="AV192" s="1982"/>
      <c r="AW192" s="1982"/>
      <c r="AX192" s="1982"/>
      <c r="AY192" s="1982"/>
      <c r="AZ192" s="1982"/>
      <c r="BA192" s="1982"/>
      <c r="BB192" s="1982"/>
      <c r="BC192" s="1982"/>
      <c r="BD192" s="198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1" t="s">
        <v>2252</v>
      </c>
      <c r="D194" s="1962"/>
      <c r="E194" s="1962"/>
      <c r="F194" s="1962"/>
      <c r="G194" s="1962"/>
      <c r="H194" s="1962"/>
      <c r="I194" s="1962"/>
      <c r="J194" s="1962"/>
      <c r="K194" s="1962"/>
      <c r="L194" s="1962"/>
      <c r="M194" s="1962"/>
      <c r="N194" s="1962"/>
      <c r="O194" s="1962"/>
      <c r="P194" s="1962"/>
      <c r="Q194" s="1962"/>
      <c r="R194" s="1962"/>
      <c r="S194" s="1962"/>
      <c r="T194" s="1962"/>
      <c r="U194" s="1962"/>
      <c r="V194" s="1962"/>
      <c r="W194" s="1962"/>
      <c r="X194" s="1962"/>
      <c r="Y194" s="1962"/>
      <c r="Z194" s="1962"/>
      <c r="AA194" s="1962"/>
      <c r="AB194" s="1962"/>
      <c r="AC194" s="1962"/>
      <c r="AD194" s="1962"/>
      <c r="AE194" s="1963"/>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4" t="s">
        <v>2251</v>
      </c>
      <c r="D195" s="1964"/>
      <c r="E195" s="1964"/>
      <c r="F195" s="1964"/>
      <c r="G195" s="1964"/>
      <c r="H195" s="1964"/>
      <c r="I195" s="1964"/>
      <c r="J195" s="1964"/>
      <c r="K195" s="1964"/>
      <c r="L195" s="1964"/>
      <c r="M195" s="1964"/>
      <c r="N195" s="1964"/>
      <c r="O195" s="1965" t="s">
        <v>2250</v>
      </c>
      <c r="P195" s="1965"/>
      <c r="Q195" s="1965"/>
      <c r="R195" s="1965"/>
      <c r="S195" s="1965"/>
      <c r="T195" s="1965"/>
      <c r="U195" s="1965"/>
      <c r="V195" s="1965"/>
      <c r="W195" s="1965"/>
      <c r="X195" s="1965" t="s">
        <v>2249</v>
      </c>
      <c r="Y195" s="1965"/>
      <c r="Z195" s="1965"/>
      <c r="AA195" s="1965"/>
      <c r="AB195" s="1965"/>
      <c r="AC195" s="1965"/>
      <c r="AD195" s="1965"/>
      <c r="AE195" s="1965"/>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6" t="s">
        <v>2248</v>
      </c>
      <c r="D196" s="1956"/>
      <c r="E196" s="1956"/>
      <c r="F196" s="1956"/>
      <c r="G196" s="1956"/>
      <c r="H196" s="1956"/>
      <c r="I196" s="1956"/>
      <c r="J196" s="1956"/>
      <c r="K196" s="1956"/>
      <c r="L196" s="1956"/>
      <c r="M196" s="1956"/>
      <c r="N196" s="1956"/>
      <c r="O196" s="1957" t="s">
        <v>2247</v>
      </c>
      <c r="P196" s="1957"/>
      <c r="Q196" s="1957"/>
      <c r="R196" s="1957"/>
      <c r="S196" s="1957"/>
      <c r="T196" s="1957"/>
      <c r="U196" s="1957"/>
      <c r="V196" s="1957"/>
      <c r="W196" s="1957"/>
      <c r="X196" s="1958">
        <v>0.03</v>
      </c>
      <c r="Y196" s="1958"/>
      <c r="Z196" s="1958"/>
      <c r="AA196" s="1958"/>
      <c r="AB196" s="1958"/>
      <c r="AC196" s="1958"/>
      <c r="AD196" s="1958"/>
      <c r="AE196" s="195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6" t="s">
        <v>854</v>
      </c>
      <c r="D197" s="1956"/>
      <c r="E197" s="1956"/>
      <c r="F197" s="1956"/>
      <c r="G197" s="1956"/>
      <c r="H197" s="1956"/>
      <c r="I197" s="1956"/>
      <c r="J197" s="1956"/>
      <c r="K197" s="1956"/>
      <c r="L197" s="1956"/>
      <c r="M197" s="1956"/>
      <c r="N197" s="1956"/>
      <c r="O197" s="1957" t="s">
        <v>2247</v>
      </c>
      <c r="P197" s="1957"/>
      <c r="Q197" s="1957"/>
      <c r="R197" s="1957"/>
      <c r="S197" s="1957"/>
      <c r="T197" s="1957"/>
      <c r="U197" s="1957"/>
      <c r="V197" s="1957"/>
      <c r="W197" s="1957"/>
      <c r="X197" s="1958">
        <v>0.03</v>
      </c>
      <c r="Y197" s="1958"/>
      <c r="Z197" s="1958"/>
      <c r="AA197" s="1958"/>
      <c r="AB197" s="1958"/>
      <c r="AC197" s="1958"/>
      <c r="AD197" s="1958"/>
      <c r="AE197" s="195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6" t="s">
        <v>2246</v>
      </c>
      <c r="D198" s="1956"/>
      <c r="E198" s="1956"/>
      <c r="F198" s="1956"/>
      <c r="G198" s="1956"/>
      <c r="H198" s="1956"/>
      <c r="I198" s="1956"/>
      <c r="J198" s="1956"/>
      <c r="K198" s="1956"/>
      <c r="L198" s="1956"/>
      <c r="M198" s="1956"/>
      <c r="N198" s="1956"/>
      <c r="O198" s="1959">
        <f>SUM(O196:W197)</f>
        <v>0</v>
      </c>
      <c r="P198" s="1960"/>
      <c r="Q198" s="1960"/>
      <c r="R198" s="1960"/>
      <c r="S198" s="1960"/>
      <c r="T198" s="1960"/>
      <c r="U198" s="1960"/>
      <c r="V198" s="1960"/>
      <c r="W198" s="1960"/>
      <c r="X198" s="1960" t="s">
        <v>2245</v>
      </c>
      <c r="Y198" s="1960"/>
      <c r="Z198" s="1960"/>
      <c r="AA198" s="1960"/>
      <c r="AB198" s="1960"/>
      <c r="AC198" s="1960"/>
      <c r="AD198" s="1960"/>
      <c r="AE198" s="196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0" t="s">
        <v>2244</v>
      </c>
      <c r="D199" s="1930"/>
      <c r="E199" s="1930"/>
      <c r="F199" s="1930"/>
      <c r="G199" s="1930"/>
      <c r="H199" s="1930"/>
      <c r="I199" s="1930"/>
      <c r="J199" s="1930"/>
      <c r="K199" s="1930"/>
      <c r="L199" s="1930"/>
      <c r="M199" s="1930"/>
      <c r="N199" s="1930"/>
      <c r="O199" s="1930"/>
      <c r="P199" s="1930"/>
      <c r="Q199" s="1930"/>
      <c r="R199" s="1930"/>
      <c r="S199" s="1930"/>
      <c r="T199" s="1930"/>
      <c r="U199" s="1930"/>
      <c r="V199" s="1930"/>
      <c r="W199" s="1930"/>
      <c r="X199" s="1930"/>
      <c r="Y199" s="1930"/>
      <c r="Z199" s="1930"/>
      <c r="AA199" s="1930"/>
      <c r="AB199" s="1930"/>
      <c r="AC199" s="1930"/>
      <c r="AD199" s="1930"/>
      <c r="AE199" s="193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1" t="s">
        <v>2243</v>
      </c>
      <c r="D201" s="1932"/>
      <c r="E201" s="1932"/>
      <c r="F201" s="1932"/>
      <c r="G201" s="1932"/>
      <c r="H201" s="1932"/>
      <c r="I201" s="1932"/>
      <c r="J201" s="1932"/>
      <c r="K201" s="1932"/>
      <c r="L201" s="1932"/>
      <c r="M201" s="1932"/>
      <c r="N201" s="1932"/>
      <c r="O201" s="1932"/>
      <c r="P201" s="1932"/>
      <c r="Q201" s="1932"/>
      <c r="R201" s="1932"/>
      <c r="S201" s="1932"/>
      <c r="T201" s="1932"/>
      <c r="U201" s="1932"/>
      <c r="V201" s="1932"/>
      <c r="W201" s="1932"/>
      <c r="X201" s="1932"/>
      <c r="Y201" s="1932"/>
      <c r="Z201" s="1932"/>
      <c r="AA201" s="1932"/>
      <c r="AB201" s="1932"/>
      <c r="AC201" s="1932"/>
      <c r="AD201" s="1932"/>
      <c r="AE201" s="1932"/>
      <c r="AF201" s="1932"/>
      <c r="AG201" s="1932"/>
      <c r="AH201" s="1932"/>
      <c r="AI201" s="1932"/>
      <c r="AJ201" s="1932"/>
      <c r="AK201" s="193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4" t="s">
        <v>2242</v>
      </c>
      <c r="D202" s="1935"/>
      <c r="E202" s="1935"/>
      <c r="F202" s="1936"/>
      <c r="G202" s="1940" t="s">
        <v>2241</v>
      </c>
      <c r="H202" s="1935"/>
      <c r="I202" s="1935"/>
      <c r="J202" s="1935"/>
      <c r="K202" s="1935"/>
      <c r="L202" s="1935"/>
      <c r="M202" s="1935"/>
      <c r="N202" s="1935"/>
      <c r="O202" s="1936"/>
      <c r="P202" s="1942" t="s">
        <v>2240</v>
      </c>
      <c r="Q202" s="1943"/>
      <c r="R202" s="1943"/>
      <c r="S202" s="1943"/>
      <c r="T202" s="1944"/>
      <c r="U202" s="1948" t="s">
        <v>2239</v>
      </c>
      <c r="V202" s="1949"/>
      <c r="W202" s="1949"/>
      <c r="X202" s="1950"/>
      <c r="Y202" s="1948" t="s">
        <v>2238</v>
      </c>
      <c r="Z202" s="1949"/>
      <c r="AA202" s="1949"/>
      <c r="AB202" s="1950"/>
      <c r="AC202" s="1948" t="s">
        <v>2237</v>
      </c>
      <c r="AD202" s="1949"/>
      <c r="AE202" s="1949"/>
      <c r="AF202" s="1950"/>
      <c r="AG202" s="1940" t="s">
        <v>2236</v>
      </c>
      <c r="AH202" s="1935"/>
      <c r="AI202" s="1935"/>
      <c r="AJ202" s="1935"/>
      <c r="AK202" s="195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7"/>
      <c r="D203" s="1938"/>
      <c r="E203" s="1938"/>
      <c r="F203" s="1939"/>
      <c r="G203" s="1941"/>
      <c r="H203" s="1938"/>
      <c r="I203" s="1938"/>
      <c r="J203" s="1938"/>
      <c r="K203" s="1938"/>
      <c r="L203" s="1938"/>
      <c r="M203" s="1938"/>
      <c r="N203" s="1938"/>
      <c r="O203" s="1939"/>
      <c r="P203" s="1945"/>
      <c r="Q203" s="1946"/>
      <c r="R203" s="1946"/>
      <c r="S203" s="1946"/>
      <c r="T203" s="1947"/>
      <c r="U203" s="1951"/>
      <c r="V203" s="1952"/>
      <c r="W203" s="1952"/>
      <c r="X203" s="1953"/>
      <c r="Y203" s="1951"/>
      <c r="Z203" s="1952"/>
      <c r="AA203" s="1952"/>
      <c r="AB203" s="1953"/>
      <c r="AC203" s="1951"/>
      <c r="AD203" s="1952"/>
      <c r="AE203" s="1952"/>
      <c r="AF203" s="1953"/>
      <c r="AG203" s="1941"/>
      <c r="AH203" s="1938"/>
      <c r="AI203" s="1938"/>
      <c r="AJ203" s="1938"/>
      <c r="AK203" s="195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3">
        <v>1</v>
      </c>
      <c r="D204" s="1924"/>
      <c r="E204" s="1924"/>
      <c r="F204" s="1924"/>
      <c r="G204" s="1925" t="s">
        <v>1858</v>
      </c>
      <c r="H204" s="1925"/>
      <c r="I204" s="1925"/>
      <c r="J204" s="1925"/>
      <c r="K204" s="1925"/>
      <c r="L204" s="1925"/>
      <c r="M204" s="1925"/>
      <c r="N204" s="1925"/>
      <c r="O204" s="1925"/>
      <c r="P204" s="1926"/>
      <c r="Q204" s="1929"/>
      <c r="R204" s="1929"/>
      <c r="S204" s="1929"/>
      <c r="T204" s="1929"/>
      <c r="U204" s="1927" t="s">
        <v>1858</v>
      </c>
      <c r="V204" s="1927"/>
      <c r="W204" s="1927"/>
      <c r="X204" s="1927"/>
      <c r="Y204" s="1927" t="s">
        <v>1858</v>
      </c>
      <c r="Z204" s="1927"/>
      <c r="AA204" s="1927"/>
      <c r="AB204" s="1927"/>
      <c r="AC204" s="1928" t="s">
        <v>1858</v>
      </c>
      <c r="AD204" s="1928"/>
      <c r="AE204" s="1928"/>
      <c r="AF204" s="1928"/>
      <c r="AG204" s="1912"/>
      <c r="AH204" s="1913"/>
      <c r="AI204" s="1913"/>
      <c r="AJ204" s="1913"/>
      <c r="AK204" s="1914"/>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3">
        <v>2</v>
      </c>
      <c r="D205" s="1924"/>
      <c r="E205" s="1924"/>
      <c r="F205" s="1924"/>
      <c r="G205" s="1925" t="s">
        <v>1858</v>
      </c>
      <c r="H205" s="1925"/>
      <c r="I205" s="1925"/>
      <c r="J205" s="1925"/>
      <c r="K205" s="1925"/>
      <c r="L205" s="1925"/>
      <c r="M205" s="1925"/>
      <c r="N205" s="1925"/>
      <c r="O205" s="1925"/>
      <c r="P205" s="1926"/>
      <c r="Q205" s="1926"/>
      <c r="R205" s="1926"/>
      <c r="S205" s="1926"/>
      <c r="T205" s="1926"/>
      <c r="U205" s="1927" t="s">
        <v>1858</v>
      </c>
      <c r="V205" s="1927"/>
      <c r="W205" s="1927"/>
      <c r="X205" s="1927"/>
      <c r="Y205" s="1927" t="s">
        <v>1858</v>
      </c>
      <c r="Z205" s="1927"/>
      <c r="AA205" s="1927"/>
      <c r="AB205" s="1927"/>
      <c r="AC205" s="1928" t="s">
        <v>1858</v>
      </c>
      <c r="AD205" s="1928"/>
      <c r="AE205" s="1928"/>
      <c r="AF205" s="1928"/>
      <c r="AG205" s="1912"/>
      <c r="AH205" s="1913"/>
      <c r="AI205" s="1913"/>
      <c r="AJ205" s="1913"/>
      <c r="AK205" s="1914"/>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3">
        <v>3</v>
      </c>
      <c r="D206" s="1924"/>
      <c r="E206" s="1924"/>
      <c r="F206" s="1924"/>
      <c r="G206" s="1925" t="s">
        <v>1858</v>
      </c>
      <c r="H206" s="1925"/>
      <c r="I206" s="1925"/>
      <c r="J206" s="1925"/>
      <c r="K206" s="1925"/>
      <c r="L206" s="1925"/>
      <c r="M206" s="1925"/>
      <c r="N206" s="1925"/>
      <c r="O206" s="1925"/>
      <c r="P206" s="1926"/>
      <c r="Q206" s="1926"/>
      <c r="R206" s="1926"/>
      <c r="S206" s="1926"/>
      <c r="T206" s="1926"/>
      <c r="U206" s="1927" t="s">
        <v>1858</v>
      </c>
      <c r="V206" s="1927"/>
      <c r="W206" s="1927"/>
      <c r="X206" s="1927"/>
      <c r="Y206" s="1927" t="s">
        <v>1858</v>
      </c>
      <c r="Z206" s="1927"/>
      <c r="AA206" s="1927"/>
      <c r="AB206" s="1927"/>
      <c r="AC206" s="1928" t="s">
        <v>1858</v>
      </c>
      <c r="AD206" s="1928"/>
      <c r="AE206" s="1928"/>
      <c r="AF206" s="1928"/>
      <c r="AG206" s="1912"/>
      <c r="AH206" s="1913"/>
      <c r="AI206" s="1913"/>
      <c r="AJ206" s="1913"/>
      <c r="AK206" s="191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3">
        <v>4</v>
      </c>
      <c r="D207" s="1924"/>
      <c r="E207" s="1924"/>
      <c r="F207" s="1924"/>
      <c r="G207" s="1925" t="s">
        <v>1858</v>
      </c>
      <c r="H207" s="1925"/>
      <c r="I207" s="1925"/>
      <c r="J207" s="1925"/>
      <c r="K207" s="1925"/>
      <c r="L207" s="1925"/>
      <c r="M207" s="1925"/>
      <c r="N207" s="1925"/>
      <c r="O207" s="1925"/>
      <c r="P207" s="1926"/>
      <c r="Q207" s="1926"/>
      <c r="R207" s="1926"/>
      <c r="S207" s="1926"/>
      <c r="T207" s="1926"/>
      <c r="U207" s="1927" t="s">
        <v>1858</v>
      </c>
      <c r="V207" s="1927"/>
      <c r="W207" s="1927"/>
      <c r="X207" s="1927"/>
      <c r="Y207" s="1927" t="s">
        <v>1858</v>
      </c>
      <c r="Z207" s="1927"/>
      <c r="AA207" s="1927"/>
      <c r="AB207" s="1927"/>
      <c r="AC207" s="1928" t="s">
        <v>1858</v>
      </c>
      <c r="AD207" s="1928"/>
      <c r="AE207" s="1928"/>
      <c r="AF207" s="1928"/>
      <c r="AG207" s="1912"/>
      <c r="AH207" s="1913"/>
      <c r="AI207" s="1913"/>
      <c r="AJ207" s="1913"/>
      <c r="AK207" s="191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3">
        <v>5</v>
      </c>
      <c r="D208" s="1924"/>
      <c r="E208" s="1924"/>
      <c r="F208" s="1924"/>
      <c r="G208" s="1925" t="s">
        <v>1858</v>
      </c>
      <c r="H208" s="1925"/>
      <c r="I208" s="1925"/>
      <c r="J208" s="1925"/>
      <c r="K208" s="1925"/>
      <c r="L208" s="1925"/>
      <c r="M208" s="1925"/>
      <c r="N208" s="1925"/>
      <c r="O208" s="1925"/>
      <c r="P208" s="1926"/>
      <c r="Q208" s="1926"/>
      <c r="R208" s="1926"/>
      <c r="S208" s="1926"/>
      <c r="T208" s="1926"/>
      <c r="U208" s="1927" t="s">
        <v>1858</v>
      </c>
      <c r="V208" s="1927"/>
      <c r="W208" s="1927"/>
      <c r="X208" s="1927"/>
      <c r="Y208" s="1927" t="s">
        <v>1858</v>
      </c>
      <c r="Z208" s="1927"/>
      <c r="AA208" s="1927"/>
      <c r="AB208" s="1927"/>
      <c r="AC208" s="1928" t="s">
        <v>1858</v>
      </c>
      <c r="AD208" s="1928"/>
      <c r="AE208" s="1928"/>
      <c r="AF208" s="1928"/>
      <c r="AG208" s="1912"/>
      <c r="AH208" s="1913"/>
      <c r="AI208" s="1913"/>
      <c r="AJ208" s="1913"/>
      <c r="AK208" s="191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3">
        <v>6</v>
      </c>
      <c r="D209" s="1924"/>
      <c r="E209" s="1924"/>
      <c r="F209" s="1924"/>
      <c r="G209" s="1925" t="s">
        <v>1858</v>
      </c>
      <c r="H209" s="1925"/>
      <c r="I209" s="1925"/>
      <c r="J209" s="1925"/>
      <c r="K209" s="1925"/>
      <c r="L209" s="1925"/>
      <c r="M209" s="1925"/>
      <c r="N209" s="1925"/>
      <c r="O209" s="1925"/>
      <c r="P209" s="1926"/>
      <c r="Q209" s="1926"/>
      <c r="R209" s="1926"/>
      <c r="S209" s="1926"/>
      <c r="T209" s="1926"/>
      <c r="U209" s="1927"/>
      <c r="V209" s="1927"/>
      <c r="W209" s="1927"/>
      <c r="X209" s="1927"/>
      <c r="Y209" s="1927"/>
      <c r="Z209" s="1927"/>
      <c r="AA209" s="1927"/>
      <c r="AB209" s="1927"/>
      <c r="AC209" s="1928" t="s">
        <v>1858</v>
      </c>
      <c r="AD209" s="1928"/>
      <c r="AE209" s="1928"/>
      <c r="AF209" s="1928"/>
      <c r="AG209" s="1912"/>
      <c r="AH209" s="1913"/>
      <c r="AI209" s="1913"/>
      <c r="AJ209" s="1913"/>
      <c r="AK209" s="191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3">
        <v>7</v>
      </c>
      <c r="D210" s="1924"/>
      <c r="E210" s="1924"/>
      <c r="F210" s="1924"/>
      <c r="G210" s="1925"/>
      <c r="H210" s="1925"/>
      <c r="I210" s="1925"/>
      <c r="J210" s="1925"/>
      <c r="K210" s="1925"/>
      <c r="L210" s="1925"/>
      <c r="M210" s="1925"/>
      <c r="N210" s="1925"/>
      <c r="O210" s="1925"/>
      <c r="P210" s="1926"/>
      <c r="Q210" s="1926"/>
      <c r="R210" s="1926"/>
      <c r="S210" s="1926"/>
      <c r="T210" s="1926"/>
      <c r="U210" s="1927"/>
      <c r="V210" s="1927"/>
      <c r="W210" s="1927"/>
      <c r="X210" s="1927"/>
      <c r="Y210" s="1927"/>
      <c r="Z210" s="1927"/>
      <c r="AA210" s="1927"/>
      <c r="AB210" s="1927"/>
      <c r="AC210" s="1928" t="s">
        <v>1858</v>
      </c>
      <c r="AD210" s="1928"/>
      <c r="AE210" s="1928"/>
      <c r="AF210" s="1928"/>
      <c r="AG210" s="1912"/>
      <c r="AH210" s="1913"/>
      <c r="AI210" s="1913"/>
      <c r="AJ210" s="1913"/>
      <c r="AK210" s="191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5" t="s">
        <v>2235</v>
      </c>
      <c r="D211" s="1916"/>
      <c r="E211" s="1916"/>
      <c r="F211" s="1916"/>
      <c r="G211" s="1916"/>
      <c r="H211" s="1916"/>
      <c r="I211" s="1916"/>
      <c r="J211" s="1916"/>
      <c r="K211" s="1916"/>
      <c r="L211" s="1916"/>
      <c r="M211" s="1916"/>
      <c r="N211" s="1916"/>
      <c r="O211" s="1916"/>
      <c r="P211" s="1917"/>
      <c r="Q211" s="1917"/>
      <c r="R211" s="1917"/>
      <c r="S211" s="1917"/>
      <c r="T211" s="1917"/>
      <c r="U211" s="1918">
        <f>-SUM(U204:U210)</f>
        <v>0</v>
      </c>
      <c r="V211" s="1918"/>
      <c r="W211" s="1918"/>
      <c r="X211" s="1918"/>
      <c r="Y211" s="1918">
        <f>-SUM(Y204:Y210)</f>
        <v>0</v>
      </c>
      <c r="Z211" s="1918"/>
      <c r="AA211" s="1918"/>
      <c r="AB211" s="1918"/>
      <c r="AC211" s="1919">
        <f>-SUM(AC204:AC210)</f>
        <v>0</v>
      </c>
      <c r="AD211" s="1919"/>
      <c r="AE211" s="1919"/>
      <c r="AF211" s="1919"/>
      <c r="AG211" s="1920"/>
      <c r="AH211" s="1921"/>
      <c r="AI211" s="1921"/>
      <c r="AJ211" s="1921"/>
      <c r="AK211" s="192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9" t="s">
        <v>2233</v>
      </c>
      <c r="C216" s="1900"/>
      <c r="D216" s="1900"/>
      <c r="E216" s="1900"/>
      <c r="F216" s="1900"/>
      <c r="G216" s="1900"/>
      <c r="H216" s="1900"/>
      <c r="I216" s="1900"/>
      <c r="J216" s="1900"/>
      <c r="K216" s="1900"/>
      <c r="L216" s="1900"/>
      <c r="M216" s="1900"/>
      <c r="N216" s="1900"/>
      <c r="O216" s="1900"/>
      <c r="P216" s="1900"/>
      <c r="Q216" s="1900"/>
      <c r="R216" s="1900"/>
      <c r="S216" s="1900"/>
      <c r="T216" s="1900"/>
      <c r="U216" s="1900"/>
      <c r="V216" s="1900"/>
      <c r="W216" s="1900"/>
      <c r="X216" s="1900"/>
      <c r="Y216" s="1900"/>
      <c r="Z216" s="1900"/>
      <c r="AA216" s="1900"/>
      <c r="AB216" s="1900"/>
      <c r="AC216" s="1900"/>
      <c r="AD216" s="1900"/>
      <c r="AE216" s="1900"/>
      <c r="AF216" s="1900"/>
      <c r="AG216" s="1900"/>
      <c r="AH216" s="1900"/>
      <c r="AI216" s="1900"/>
      <c r="AJ216" s="1900"/>
      <c r="AK216" s="1900"/>
      <c r="AL216" s="1900"/>
      <c r="AM216" s="1900"/>
      <c r="AN216" s="1900"/>
      <c r="AO216" s="1900"/>
      <c r="AP216" s="1900"/>
      <c r="AQ216" s="1900"/>
      <c r="AR216" s="1900"/>
      <c r="AS216" s="1900"/>
      <c r="AT216" s="1900"/>
      <c r="AU216" s="1900"/>
      <c r="AV216" s="1900"/>
      <c r="AW216" s="1900"/>
      <c r="AX216" s="1900"/>
      <c r="AY216" s="1900"/>
      <c r="AZ216" s="1900"/>
      <c r="BA216" s="1900"/>
      <c r="BB216" s="1900"/>
      <c r="BC216" s="1900"/>
      <c r="BD216" s="1901"/>
      <c r="BE216" s="1215"/>
    </row>
    <row r="217" spans="1:57" ht="15.75" customHeight="1">
      <c r="A217" s="1208"/>
      <c r="B217" s="1902"/>
      <c r="C217" s="1903"/>
      <c r="D217" s="1903"/>
      <c r="E217" s="1903"/>
      <c r="F217" s="1903"/>
      <c r="G217" s="1903"/>
      <c r="H217" s="1903"/>
      <c r="I217" s="1903"/>
      <c r="J217" s="1903"/>
      <c r="K217" s="1903"/>
      <c r="L217" s="1903"/>
      <c r="M217" s="1903"/>
      <c r="N217" s="1903"/>
      <c r="O217" s="1903"/>
      <c r="P217" s="1903"/>
      <c r="Q217" s="1903"/>
      <c r="R217" s="1903"/>
      <c r="S217" s="1903"/>
      <c r="T217" s="1903"/>
      <c r="U217" s="1903"/>
      <c r="V217" s="1903"/>
      <c r="W217" s="1903"/>
      <c r="X217" s="1903"/>
      <c r="Y217" s="1903"/>
      <c r="Z217" s="1903"/>
      <c r="AA217" s="1903"/>
      <c r="AB217" s="1903"/>
      <c r="AC217" s="1903"/>
      <c r="AD217" s="1903"/>
      <c r="AE217" s="1903"/>
      <c r="AF217" s="1903"/>
      <c r="AG217" s="1903"/>
      <c r="AH217" s="1903"/>
      <c r="AI217" s="1903"/>
      <c r="AJ217" s="1903"/>
      <c r="AK217" s="1903"/>
      <c r="AL217" s="1903"/>
      <c r="AM217" s="1903"/>
      <c r="AN217" s="1903"/>
      <c r="AO217" s="1903"/>
      <c r="AP217" s="1903"/>
      <c r="AQ217" s="1903"/>
      <c r="AR217" s="1903"/>
      <c r="AS217" s="1903"/>
      <c r="AT217" s="1903"/>
      <c r="AU217" s="1903"/>
      <c r="AV217" s="1903"/>
      <c r="AW217" s="1903"/>
      <c r="AX217" s="1903"/>
      <c r="AY217" s="1903"/>
      <c r="AZ217" s="1903"/>
      <c r="BA217" s="1903"/>
      <c r="BB217" s="1903"/>
      <c r="BC217" s="1903"/>
      <c r="BD217" s="1904"/>
      <c r="BE217" s="1215"/>
    </row>
    <row r="218" spans="1:57" ht="15.75" customHeight="1">
      <c r="A218" s="1208"/>
      <c r="B218" s="1905" t="s">
        <v>2232</v>
      </c>
      <c r="C218" s="1906"/>
      <c r="D218" s="1906"/>
      <c r="E218" s="1906"/>
      <c r="F218" s="1906"/>
      <c r="G218" s="1906"/>
      <c r="H218" s="1906"/>
      <c r="I218" s="1906"/>
      <c r="J218" s="1906"/>
      <c r="K218" s="1906"/>
      <c r="L218" s="1906"/>
      <c r="M218" s="1906"/>
      <c r="N218" s="1906"/>
      <c r="O218" s="1906"/>
      <c r="P218" s="1906"/>
      <c r="Q218" s="1906"/>
      <c r="R218" s="1906"/>
      <c r="S218" s="1906"/>
      <c r="T218" s="1906"/>
      <c r="U218" s="1906"/>
      <c r="V218" s="1906"/>
      <c r="W218" s="1906"/>
      <c r="X218" s="1906"/>
      <c r="Y218" s="1906"/>
      <c r="Z218" s="1906"/>
      <c r="AA218" s="1906"/>
      <c r="AB218" s="1906"/>
      <c r="AC218" s="1906"/>
      <c r="AD218" s="1906"/>
      <c r="AE218" s="1906"/>
      <c r="AF218" s="1906"/>
      <c r="AG218" s="1906"/>
      <c r="AH218" s="1906"/>
      <c r="AI218" s="1906"/>
      <c r="AJ218" s="1906"/>
      <c r="AK218" s="1906"/>
      <c r="AL218" s="1906"/>
      <c r="AM218" s="1906"/>
      <c r="AN218" s="1906"/>
      <c r="AO218" s="1906"/>
      <c r="AP218" s="1906"/>
      <c r="AQ218" s="1906"/>
      <c r="AR218" s="1906"/>
      <c r="AS218" s="1906"/>
      <c r="AT218" s="1906"/>
      <c r="AU218" s="1906"/>
      <c r="AV218" s="1906"/>
      <c r="AW218" s="1906"/>
      <c r="AX218" s="1906"/>
      <c r="AY218" s="1906"/>
      <c r="AZ218" s="1906"/>
      <c r="BA218" s="1906"/>
      <c r="BB218" s="1906"/>
      <c r="BC218" s="1906"/>
      <c r="BD218" s="1907"/>
      <c r="BE218" s="1215"/>
    </row>
    <row r="219" spans="1:57" ht="15.75" customHeight="1">
      <c r="A219" s="1208"/>
      <c r="B219" s="1905" t="s">
        <v>2231</v>
      </c>
      <c r="C219" s="1906"/>
      <c r="D219" s="1906"/>
      <c r="E219" s="1906"/>
      <c r="F219" s="1906"/>
      <c r="G219" s="1906"/>
      <c r="H219" s="1906"/>
      <c r="I219" s="1906"/>
      <c r="J219" s="1906"/>
      <c r="K219" s="1906"/>
      <c r="L219" s="1906"/>
      <c r="M219" s="1906"/>
      <c r="N219" s="1906"/>
      <c r="O219" s="1906"/>
      <c r="P219" s="1906"/>
      <c r="Q219" s="1906"/>
      <c r="R219" s="1906"/>
      <c r="S219" s="1906"/>
      <c r="T219" s="1906"/>
      <c r="U219" s="1906"/>
      <c r="V219" s="1906"/>
      <c r="W219" s="1906"/>
      <c r="X219" s="1906"/>
      <c r="Y219" s="1906"/>
      <c r="Z219" s="1906"/>
      <c r="AA219" s="1906"/>
      <c r="AB219" s="1906"/>
      <c r="AC219" s="1906"/>
      <c r="AD219" s="1906"/>
      <c r="AE219" s="1906"/>
      <c r="AF219" s="1906"/>
      <c r="AG219" s="1906"/>
      <c r="AH219" s="1906"/>
      <c r="AI219" s="1906"/>
      <c r="AJ219" s="1906"/>
      <c r="AK219" s="1906"/>
      <c r="AL219" s="1906"/>
      <c r="AM219" s="1906"/>
      <c r="AN219" s="1906"/>
      <c r="AO219" s="1906"/>
      <c r="AP219" s="1906"/>
      <c r="AQ219" s="1906"/>
      <c r="AR219" s="1906"/>
      <c r="AS219" s="1906"/>
      <c r="AT219" s="1906"/>
      <c r="AU219" s="1906"/>
      <c r="AV219" s="1906"/>
      <c r="AW219" s="1906"/>
      <c r="AX219" s="1906"/>
      <c r="AY219" s="1906"/>
      <c r="AZ219" s="1906"/>
      <c r="BA219" s="1906"/>
      <c r="BB219" s="1906"/>
      <c r="BC219" s="1906"/>
      <c r="BD219" s="190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8" t="s">
        <v>2230</v>
      </c>
      <c r="C221" s="1909"/>
      <c r="D221" s="1909"/>
      <c r="E221" s="1909"/>
      <c r="F221" s="1909"/>
      <c r="G221" s="1909"/>
      <c r="H221" s="1909"/>
      <c r="I221" s="1909"/>
      <c r="J221" s="1909"/>
      <c r="K221" s="1909"/>
      <c r="L221" s="1909"/>
      <c r="M221" s="1909"/>
      <c r="N221" s="1909"/>
      <c r="O221" s="1909"/>
      <c r="P221" s="1909"/>
      <c r="Q221" s="1909"/>
      <c r="R221" s="1909"/>
      <c r="S221" s="1909"/>
      <c r="T221" s="1909"/>
      <c r="U221" s="1909"/>
      <c r="V221" s="1909"/>
      <c r="W221" s="1909"/>
      <c r="X221" s="1909"/>
      <c r="Y221" s="1909"/>
      <c r="Z221" s="1909"/>
      <c r="AA221" s="1909"/>
      <c r="AB221" s="1909"/>
      <c r="AC221" s="1909"/>
      <c r="AD221" s="1909"/>
      <c r="AE221" s="1909"/>
      <c r="AF221" s="1909"/>
      <c r="AG221" s="1909"/>
      <c r="AH221" s="1909"/>
      <c r="AI221" s="1909"/>
      <c r="AJ221" s="1909"/>
      <c r="AK221" s="1909"/>
      <c r="AL221" s="1909"/>
      <c r="AM221" s="1909"/>
      <c r="AN221" s="1909"/>
      <c r="AO221" s="1909"/>
      <c r="AP221" s="1909"/>
      <c r="AQ221" s="1909"/>
      <c r="AR221" s="1909"/>
      <c r="AS221" s="1909"/>
      <c r="AT221" s="1909"/>
      <c r="AU221" s="1909"/>
      <c r="AV221" s="1909"/>
      <c r="AW221" s="1909"/>
      <c r="AX221" s="1909"/>
      <c r="AY221" s="1909"/>
      <c r="AZ221" s="1909"/>
      <c r="BA221" s="1909"/>
      <c r="BB221" s="1909"/>
      <c r="BC221" s="1909"/>
      <c r="BD221" s="1910"/>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1" t="s">
        <v>2228</v>
      </c>
      <c r="I225" s="1911"/>
      <c r="J225" s="1911"/>
      <c r="K225" s="1911"/>
      <c r="L225" s="1911"/>
      <c r="M225" s="1911"/>
      <c r="N225" s="1911"/>
      <c r="O225" s="1911"/>
      <c r="P225" s="1911"/>
      <c r="Q225" s="1911"/>
      <c r="R225" s="1911"/>
      <c r="S225" s="1911"/>
      <c r="T225" s="1911"/>
      <c r="U225" s="1911"/>
      <c r="V225" s="1911"/>
      <c r="W225" s="1911"/>
      <c r="X225" s="1911"/>
      <c r="Y225" s="1911"/>
      <c r="Z225" s="1911"/>
      <c r="AA225" s="1911"/>
      <c r="AB225" s="1911"/>
      <c r="AC225" s="1911"/>
      <c r="AD225" s="1911"/>
      <c r="AE225" s="1911"/>
      <c r="AF225" s="1911"/>
      <c r="AG225" s="1911"/>
      <c r="AH225" s="1911"/>
      <c r="AI225" s="1911"/>
      <c r="AJ225" s="1911"/>
      <c r="AK225" s="1911"/>
      <c r="AL225" s="1911"/>
      <c r="AM225" s="1911"/>
      <c r="AN225" s="1911"/>
      <c r="AO225" s="1911"/>
      <c r="AP225" s="1911"/>
      <c r="AQ225" s="1911"/>
      <c r="AR225" s="1911"/>
      <c r="AS225" s="1911"/>
      <c r="AT225" s="1911"/>
      <c r="AU225" s="1911"/>
      <c r="AV225" s="1911"/>
      <c r="AW225" s="1911"/>
      <c r="AX225" s="1911"/>
      <c r="AY225" s="1911"/>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4" t="s">
        <v>2227</v>
      </c>
      <c r="I227" s="1894"/>
      <c r="J227" s="1894"/>
      <c r="K227" s="1894"/>
      <c r="L227" s="1894"/>
      <c r="M227" s="1894"/>
      <c r="N227" s="1894"/>
      <c r="O227" s="1894"/>
      <c r="P227" s="1894"/>
      <c r="Q227" s="1894"/>
      <c r="R227" s="1894"/>
      <c r="S227" s="1894"/>
      <c r="T227" s="1894"/>
      <c r="U227" s="1894"/>
      <c r="V227" s="1894"/>
      <c r="W227" s="1894"/>
      <c r="X227" s="1894"/>
      <c r="Y227" s="1894"/>
      <c r="Z227" s="1894"/>
      <c r="AA227" s="1894"/>
      <c r="AB227" s="1894"/>
      <c r="AC227" s="1894"/>
      <c r="AD227" s="1894"/>
      <c r="AE227" s="1894"/>
      <c r="AF227" s="1894"/>
      <c r="AG227" s="1894"/>
      <c r="AH227" s="1894"/>
      <c r="AI227" s="1894"/>
      <c r="AJ227" s="1894"/>
      <c r="AK227" s="1894"/>
      <c r="AL227" s="1894"/>
      <c r="AM227" s="1894"/>
      <c r="AN227" s="1894"/>
      <c r="AO227" s="1894"/>
      <c r="AP227" s="1894"/>
      <c r="AQ227" s="1894"/>
      <c r="AR227" s="1894"/>
      <c r="AS227" s="1894"/>
      <c r="AT227" s="1894"/>
      <c r="AU227" s="1894"/>
      <c r="AV227" s="1894"/>
      <c r="AW227" s="1894"/>
      <c r="AX227" s="1894"/>
      <c r="AY227" s="1894"/>
      <c r="AZ227" s="1894"/>
      <c r="BA227" s="1208"/>
      <c r="BB227" s="1208"/>
      <c r="BC227" s="1208"/>
      <c r="BD227" s="1215"/>
      <c r="BE227" s="1215"/>
    </row>
    <row r="228" spans="1:57" ht="15.75" customHeight="1">
      <c r="A228" s="1208"/>
      <c r="B228" s="1207"/>
      <c r="C228" s="1208"/>
      <c r="D228" s="1208"/>
      <c r="E228" s="1208"/>
      <c r="F228" s="1208"/>
      <c r="G228" s="1208"/>
      <c r="H228" s="1894"/>
      <c r="I228" s="1894"/>
      <c r="J228" s="1894"/>
      <c r="K228" s="1894"/>
      <c r="L228" s="1894"/>
      <c r="M228" s="1894"/>
      <c r="N228" s="1894"/>
      <c r="O228" s="1894"/>
      <c r="P228" s="1894"/>
      <c r="Q228" s="1894"/>
      <c r="R228" s="1894"/>
      <c r="S228" s="1894"/>
      <c r="T228" s="1894"/>
      <c r="U228" s="1894"/>
      <c r="V228" s="1894"/>
      <c r="W228" s="1894"/>
      <c r="X228" s="1894"/>
      <c r="Y228" s="1894"/>
      <c r="Z228" s="1894"/>
      <c r="AA228" s="1894"/>
      <c r="AB228" s="1894"/>
      <c r="AC228" s="1894"/>
      <c r="AD228" s="1894"/>
      <c r="AE228" s="1894"/>
      <c r="AF228" s="1894"/>
      <c r="AG228" s="1894"/>
      <c r="AH228" s="1894"/>
      <c r="AI228" s="1894"/>
      <c r="AJ228" s="1894"/>
      <c r="AK228" s="1894"/>
      <c r="AL228" s="1894"/>
      <c r="AM228" s="1894"/>
      <c r="AN228" s="1894"/>
      <c r="AO228" s="1894"/>
      <c r="AP228" s="1894"/>
      <c r="AQ228" s="1894"/>
      <c r="AR228" s="1894"/>
      <c r="AS228" s="1894"/>
      <c r="AT228" s="1894"/>
      <c r="AU228" s="1894"/>
      <c r="AV228" s="1894"/>
      <c r="AW228" s="1894"/>
      <c r="AX228" s="1894"/>
      <c r="AY228" s="1894"/>
      <c r="AZ228" s="1894"/>
      <c r="BA228" s="1208"/>
      <c r="BB228" s="1208"/>
      <c r="BC228" s="1208"/>
      <c r="BD228" s="1215"/>
      <c r="BE228" s="1215"/>
    </row>
    <row r="229" spans="1:57" ht="15.75" customHeight="1">
      <c r="A229" s="1208"/>
      <c r="B229" s="1207"/>
      <c r="C229" s="1208"/>
      <c r="D229" s="1208"/>
      <c r="E229" s="1208"/>
      <c r="F229" s="1208"/>
      <c r="G229" s="1208"/>
      <c r="H229" s="1894"/>
      <c r="I229" s="1894"/>
      <c r="J229" s="1894"/>
      <c r="K229" s="1894"/>
      <c r="L229" s="1894"/>
      <c r="M229" s="1894"/>
      <c r="N229" s="1894"/>
      <c r="O229" s="1894"/>
      <c r="P229" s="1894"/>
      <c r="Q229" s="1894"/>
      <c r="R229" s="1894"/>
      <c r="S229" s="1894"/>
      <c r="T229" s="1894"/>
      <c r="U229" s="1894"/>
      <c r="V229" s="1894"/>
      <c r="W229" s="1894"/>
      <c r="X229" s="1894"/>
      <c r="Y229" s="1894"/>
      <c r="Z229" s="1894"/>
      <c r="AA229" s="1894"/>
      <c r="AB229" s="1894"/>
      <c r="AC229" s="1894"/>
      <c r="AD229" s="1894"/>
      <c r="AE229" s="1894"/>
      <c r="AF229" s="1894"/>
      <c r="AG229" s="1894"/>
      <c r="AH229" s="1894"/>
      <c r="AI229" s="1894"/>
      <c r="AJ229" s="1894"/>
      <c r="AK229" s="1894"/>
      <c r="AL229" s="1894"/>
      <c r="AM229" s="1894"/>
      <c r="AN229" s="1894"/>
      <c r="AO229" s="1894"/>
      <c r="AP229" s="1894"/>
      <c r="AQ229" s="1894"/>
      <c r="AR229" s="1894"/>
      <c r="AS229" s="1894"/>
      <c r="AT229" s="1894"/>
      <c r="AU229" s="1894"/>
      <c r="AV229" s="1894"/>
      <c r="AW229" s="1894"/>
      <c r="AX229" s="1894"/>
      <c r="AY229" s="1894"/>
      <c r="AZ229" s="1894"/>
      <c r="BA229" s="1208"/>
      <c r="BB229" s="1208"/>
      <c r="BC229" s="1208"/>
      <c r="BD229" s="1215"/>
      <c r="BE229" s="1215"/>
    </row>
    <row r="230" spans="1:57" ht="15.75" customHeight="1">
      <c r="A230" s="1208"/>
      <c r="B230" s="1207"/>
      <c r="C230" s="1208"/>
      <c r="D230" s="1208"/>
      <c r="E230" s="1208"/>
      <c r="F230" s="1208"/>
      <c r="G230" s="1208"/>
      <c r="H230" s="1894"/>
      <c r="I230" s="1894"/>
      <c r="J230" s="1894"/>
      <c r="K230" s="1894"/>
      <c r="L230" s="1894"/>
      <c r="M230" s="1894"/>
      <c r="N230" s="1894"/>
      <c r="O230" s="1894"/>
      <c r="P230" s="1894"/>
      <c r="Q230" s="1894"/>
      <c r="R230" s="1894"/>
      <c r="S230" s="1894"/>
      <c r="T230" s="1894"/>
      <c r="U230" s="1894"/>
      <c r="V230" s="1894"/>
      <c r="W230" s="1894"/>
      <c r="X230" s="1894"/>
      <c r="Y230" s="1894"/>
      <c r="Z230" s="1894"/>
      <c r="AA230" s="1894"/>
      <c r="AB230" s="1894"/>
      <c r="AC230" s="1894"/>
      <c r="AD230" s="1894"/>
      <c r="AE230" s="1894"/>
      <c r="AF230" s="1894"/>
      <c r="AG230" s="1894"/>
      <c r="AH230" s="1894"/>
      <c r="AI230" s="1894"/>
      <c r="AJ230" s="1894"/>
      <c r="AK230" s="1894"/>
      <c r="AL230" s="1894"/>
      <c r="AM230" s="1894"/>
      <c r="AN230" s="1894"/>
      <c r="AO230" s="1894"/>
      <c r="AP230" s="1894"/>
      <c r="AQ230" s="1894"/>
      <c r="AR230" s="1894"/>
      <c r="AS230" s="1894"/>
      <c r="AT230" s="1894"/>
      <c r="AU230" s="1894"/>
      <c r="AV230" s="1894"/>
      <c r="AW230" s="1894"/>
      <c r="AX230" s="1894"/>
      <c r="AY230" s="1894"/>
      <c r="AZ230" s="1894"/>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5" t="s">
        <v>2226</v>
      </c>
      <c r="I232" s="1895"/>
      <c r="J232" s="1895"/>
      <c r="K232" s="1895"/>
      <c r="L232" s="1895"/>
      <c r="M232" s="1895"/>
      <c r="N232" s="1895"/>
      <c r="O232" s="1895"/>
      <c r="P232" s="1895"/>
      <c r="Q232" s="1895"/>
      <c r="R232" s="1895"/>
      <c r="S232" s="1895"/>
      <c r="T232" s="1895"/>
      <c r="U232" s="1895"/>
      <c r="V232" s="1895"/>
      <c r="W232" s="1895"/>
      <c r="X232" s="1895"/>
      <c r="Y232" s="1895"/>
      <c r="Z232" s="1895"/>
      <c r="AA232" s="1895"/>
      <c r="AB232" s="1895"/>
      <c r="AC232" s="1895"/>
      <c r="AD232" s="1895"/>
      <c r="AE232" s="1895"/>
      <c r="AF232" s="1895"/>
      <c r="AG232" s="1895"/>
      <c r="AH232" s="1895"/>
      <c r="AI232" s="1895"/>
      <c r="AJ232" s="1895"/>
      <c r="AK232" s="1895"/>
      <c r="AL232" s="1895"/>
      <c r="AM232" s="1895"/>
      <c r="AN232" s="1895"/>
      <c r="AO232" s="1895"/>
      <c r="AP232" s="1895"/>
      <c r="AQ232" s="1895"/>
      <c r="AR232" s="1895"/>
      <c r="AS232" s="1895"/>
      <c r="AT232" s="1895"/>
      <c r="AU232" s="1895"/>
      <c r="AV232" s="1895"/>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5" t="s">
        <v>2225</v>
      </c>
      <c r="I234" s="1885"/>
      <c r="J234" s="1885"/>
      <c r="K234" s="1885"/>
      <c r="L234" s="1259"/>
      <c r="M234" s="1259"/>
      <c r="N234" s="1259"/>
      <c r="O234" s="1259"/>
      <c r="P234" s="1259"/>
      <c r="Q234" s="1259"/>
      <c r="R234" s="1259"/>
      <c r="S234" s="1896"/>
      <c r="T234" s="1897"/>
      <c r="U234" s="1897"/>
      <c r="V234" s="1897"/>
      <c r="W234" s="1897"/>
      <c r="X234" s="1897"/>
      <c r="Y234" s="1897"/>
      <c r="Z234" s="1897"/>
      <c r="AA234" s="1897"/>
      <c r="AB234" s="1897"/>
      <c r="AC234" s="1897"/>
      <c r="AD234" s="1897"/>
      <c r="AE234" s="1897"/>
      <c r="AF234" s="1897"/>
      <c r="AG234" s="1897"/>
      <c r="AH234" s="1897"/>
      <c r="AI234" s="1897"/>
      <c r="AJ234" s="1898"/>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5" t="s">
        <v>2224</v>
      </c>
      <c r="I236" s="1885"/>
      <c r="J236" s="1885"/>
      <c r="K236" s="1261"/>
      <c r="L236" s="1259"/>
      <c r="M236" s="1259"/>
      <c r="N236" s="1259"/>
      <c r="O236" s="1259"/>
      <c r="P236" s="1259"/>
      <c r="Q236" s="1259"/>
      <c r="R236" s="1259"/>
      <c r="S236" s="1886"/>
      <c r="T236" s="1887"/>
      <c r="U236" s="1887"/>
      <c r="V236" s="1887"/>
      <c r="W236" s="1887"/>
      <c r="X236" s="1887"/>
      <c r="Y236" s="1887"/>
      <c r="Z236" s="1887"/>
      <c r="AA236" s="1887"/>
      <c r="AB236" s="1887"/>
      <c r="AC236" s="1887"/>
      <c r="AD236" s="1887"/>
      <c r="AE236" s="1887"/>
      <c r="AF236" s="1887"/>
      <c r="AG236" s="1887"/>
      <c r="AH236" s="1887"/>
      <c r="AI236" s="1887"/>
      <c r="AJ236" s="1888"/>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5" t="s">
        <v>441</v>
      </c>
      <c r="I238" s="1885"/>
      <c r="J238" s="1261"/>
      <c r="K238" s="1261"/>
      <c r="L238" s="1259"/>
      <c r="M238" s="1259"/>
      <c r="N238" s="1259"/>
      <c r="O238" s="1259"/>
      <c r="P238" s="1259"/>
      <c r="Q238" s="1259"/>
      <c r="R238" s="1259"/>
      <c r="S238" s="1886"/>
      <c r="T238" s="1887"/>
      <c r="U238" s="1887"/>
      <c r="V238" s="1887"/>
      <c r="W238" s="1887"/>
      <c r="X238" s="1887"/>
      <c r="Y238" s="1887"/>
      <c r="Z238" s="1887"/>
      <c r="AA238" s="1887"/>
      <c r="AB238" s="1887"/>
      <c r="AC238" s="1887"/>
      <c r="AD238" s="1887"/>
      <c r="AE238" s="1887"/>
      <c r="AF238" s="1887"/>
      <c r="AG238" s="1887"/>
      <c r="AH238" s="1887"/>
      <c r="AI238" s="1887"/>
      <c r="AJ238" s="1888"/>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9" t="s">
        <v>2223</v>
      </c>
      <c r="I240" s="1889"/>
      <c r="J240" s="1889"/>
      <c r="K240" s="1889"/>
      <c r="L240" s="1889"/>
      <c r="M240" s="1889"/>
      <c r="N240" s="1889"/>
      <c r="O240" s="1889"/>
      <c r="P240" s="1259"/>
      <c r="Q240" s="1259"/>
      <c r="R240" s="1259"/>
      <c r="S240" s="1886"/>
      <c r="T240" s="1887"/>
      <c r="U240" s="1887"/>
      <c r="V240" s="1887"/>
      <c r="W240" s="1887"/>
      <c r="X240" s="1887"/>
      <c r="Y240" s="1887"/>
      <c r="Z240" s="1887"/>
      <c r="AA240" s="1887"/>
      <c r="AB240" s="1887"/>
      <c r="AC240" s="1887"/>
      <c r="AD240" s="1887"/>
      <c r="AE240" s="1887"/>
      <c r="AF240" s="1887"/>
      <c r="AG240" s="1887"/>
      <c r="AH240" s="1887"/>
      <c r="AI240" s="1887"/>
      <c r="AJ240" s="1888"/>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0" t="s">
        <v>2222</v>
      </c>
      <c r="I242" s="1890"/>
      <c r="J242" s="1259"/>
      <c r="K242" s="1259"/>
      <c r="L242" s="1259"/>
      <c r="M242" s="1259"/>
      <c r="N242" s="1259"/>
      <c r="O242" s="1259"/>
      <c r="P242" s="1259"/>
      <c r="Q242" s="1259"/>
      <c r="R242" s="1259"/>
      <c r="S242" s="1891"/>
      <c r="T242" s="1892"/>
      <c r="U242" s="1892"/>
      <c r="V242" s="1892"/>
      <c r="W242" s="1892"/>
      <c r="X242" s="1892"/>
      <c r="Y242" s="1892"/>
      <c r="Z242" s="1892"/>
      <c r="AA242" s="1892"/>
      <c r="AB242" s="1892"/>
      <c r="AC242" s="1892"/>
      <c r="AD242" s="1892"/>
      <c r="AE242" s="1892"/>
      <c r="AF242" s="1892"/>
      <c r="AG242" s="1892"/>
      <c r="AH242" s="1892"/>
      <c r="AI242" s="1892"/>
      <c r="AJ242" s="1893"/>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B51" sqref="AB51"/>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9" t="s">
        <v>1280</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2.9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2.95"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2.95"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5"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23149546</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34546338</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2.95" customHeight="1">
      <c r="B12" s="2355" t="s">
        <v>497</v>
      </c>
      <c r="C12" s="1825"/>
      <c r="D12" s="1825"/>
      <c r="E12" s="1825"/>
      <c r="F12" s="1825"/>
      <c r="G12" s="1825"/>
      <c r="H12" s="1825"/>
      <c r="I12" s="1825"/>
      <c r="J12" s="1825"/>
      <c r="K12" s="1825"/>
      <c r="L12" s="1825"/>
      <c r="M12" s="1825"/>
      <c r="N12" s="1825"/>
      <c r="O12" s="1825"/>
      <c r="P12" s="1825"/>
      <c r="Q12" s="1825"/>
      <c r="R12" s="1825"/>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2.95" customHeight="1">
      <c r="B13" s="435"/>
      <c r="C13" s="2357" t="s">
        <v>498</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2.95" customHeight="1">
      <c r="B14" s="435"/>
      <c r="C14" s="2357" t="s">
        <v>499</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2.95" customHeight="1">
      <c r="B15" s="435"/>
      <c r="C15" s="2357" t="s">
        <v>500</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2.95" customHeight="1">
      <c r="B16" s="435"/>
      <c r="C16" s="2357" t="s">
        <v>805</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2.95" customHeight="1">
      <c r="B17" s="435"/>
      <c r="C17" s="2357" t="s">
        <v>501</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2.95" customHeight="1">
      <c r="A18"/>
      <c r="B18" s="1144"/>
      <c r="C18" s="1747" t="s">
        <v>960</v>
      </c>
      <c r="D18" s="1747"/>
      <c r="E18" s="1747"/>
      <c r="F18" s="1747"/>
      <c r="G18" s="1747"/>
      <c r="H18" s="1747"/>
      <c r="I18" s="1747"/>
      <c r="J18" s="1747"/>
      <c r="K18" s="1747"/>
      <c r="L18" s="1747"/>
      <c r="M18" s="1747"/>
      <c r="N18" s="1747"/>
      <c r="O18" s="1747"/>
      <c r="P18" s="1747"/>
      <c r="Q18" s="1747"/>
      <c r="R18" s="1747"/>
      <c r="S18" s="1748"/>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2.95" customHeight="1">
      <c r="B19" s="1144"/>
      <c r="C19" s="1747" t="s">
        <v>960</v>
      </c>
      <c r="D19" s="1747"/>
      <c r="E19" s="1747"/>
      <c r="F19" s="1747"/>
      <c r="G19" s="1747"/>
      <c r="H19" s="1747"/>
      <c r="I19" s="1747"/>
      <c r="J19" s="1747"/>
      <c r="K19" s="1747"/>
      <c r="L19" s="1747"/>
      <c r="M19" s="1747"/>
      <c r="N19" s="1747"/>
      <c r="O19" s="1747"/>
      <c r="P19" s="1747"/>
      <c r="Q19" s="1747"/>
      <c r="R19" s="1747"/>
      <c r="S19" s="1748"/>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2.95" customHeight="1">
      <c r="B20" s="2340" t="s">
        <v>502</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2.95" customHeight="1">
      <c r="B21" s="2340" t="s">
        <v>1263</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2.95" customHeight="1">
      <c r="B22" s="2340" t="s">
        <v>503</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2.95" customHeight="1">
      <c r="B23" s="2340" t="s">
        <v>504</v>
      </c>
      <c r="C23" s="2341"/>
      <c r="D23" s="2341"/>
      <c r="E23" s="2341"/>
      <c r="F23" s="2341"/>
      <c r="G23" s="2341"/>
      <c r="H23" s="2341"/>
      <c r="I23" s="2341"/>
      <c r="J23" s="2341"/>
      <c r="K23" s="2341"/>
      <c r="L23" s="2341"/>
      <c r="M23" s="2341"/>
      <c r="N23" s="2341"/>
      <c r="O23" s="2341"/>
      <c r="P23" s="2341"/>
      <c r="Q23" s="2341"/>
      <c r="R23" s="2341"/>
      <c r="S23" s="2342"/>
      <c r="T23" s="2333">
        <f>T11+T22</f>
        <v>23149546</v>
      </c>
      <c r="U23" s="2334"/>
      <c r="V23" s="2334"/>
      <c r="W23" s="2334"/>
      <c r="X23" s="2334"/>
      <c r="Y23" s="2333">
        <f>Y11+Y22</f>
        <v>0</v>
      </c>
      <c r="Z23" s="2334"/>
      <c r="AA23" s="2334"/>
      <c r="AB23" s="2334"/>
      <c r="AC23" s="2334"/>
      <c r="AD23" s="2333">
        <f>AD11+AD22</f>
        <v>34546338</v>
      </c>
      <c r="AE23" s="2334"/>
      <c r="AF23" s="2334"/>
      <c r="AG23" s="2334"/>
      <c r="AH23" s="2334"/>
      <c r="AI23" s="2333">
        <f>AI11+AI22</f>
        <v>0</v>
      </c>
      <c r="AJ23" s="2334"/>
      <c r="AK23" s="2334"/>
      <c r="AL23" s="2334"/>
      <c r="AM23" s="2334"/>
    </row>
    <row r="24" spans="1:40" ht="12.95" customHeight="1">
      <c r="B24" s="2340" t="s">
        <v>961</v>
      </c>
      <c r="C24" s="2341"/>
      <c r="D24" s="2341"/>
      <c r="E24" s="2341"/>
      <c r="F24" s="2341"/>
      <c r="G24" s="2341"/>
      <c r="H24" s="2341"/>
      <c r="I24" s="2341"/>
      <c r="J24" s="2341"/>
      <c r="K24" s="2341"/>
      <c r="L24" s="2341"/>
      <c r="M24" s="2341"/>
      <c r="N24" s="2341"/>
      <c r="O24" s="2341"/>
      <c r="P24" s="2341"/>
      <c r="Q24" s="2341"/>
      <c r="R24" s="2341"/>
      <c r="S24" s="2342"/>
      <c r="T24" s="2335">
        <f>Application!AJ1062</f>
        <v>138384220.59999999</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2.95" customHeight="1">
      <c r="B25" s="2344" t="s">
        <v>1264</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0" t="s">
        <v>505</v>
      </c>
      <c r="C26" s="2341"/>
      <c r="D26" s="2341"/>
      <c r="E26" s="2341"/>
      <c r="F26" s="2341"/>
      <c r="G26" s="2341"/>
      <c r="H26" s="2341"/>
      <c r="I26" s="2341"/>
      <c r="J26" s="2341"/>
      <c r="K26" s="2341"/>
      <c r="L26" s="2341"/>
      <c r="M26" s="2341"/>
      <c r="N26" s="2341"/>
      <c r="O26" s="2341"/>
      <c r="P26" s="2341"/>
      <c r="Q26" s="2341"/>
      <c r="R26" s="2341"/>
      <c r="S26" s="2342"/>
      <c r="T26" s="2333">
        <f>T23*T25</f>
        <v>30094409.800000001</v>
      </c>
      <c r="U26" s="2334"/>
      <c r="V26" s="2334"/>
      <c r="W26" s="2334"/>
      <c r="X26" s="2334"/>
      <c r="Y26" s="2333">
        <f>Y23*Y25</f>
        <v>0</v>
      </c>
      <c r="Z26" s="2334"/>
      <c r="AA26" s="2334"/>
      <c r="AB26" s="2334"/>
      <c r="AC26" s="2334"/>
      <c r="AD26" s="2333">
        <f>AD23*AD25</f>
        <v>34546338</v>
      </c>
      <c r="AE26" s="2334"/>
      <c r="AF26" s="2334"/>
      <c r="AG26" s="2334"/>
      <c r="AH26" s="2334"/>
      <c r="AI26" s="2333">
        <f>AI23*AI25</f>
        <v>0</v>
      </c>
      <c r="AJ26" s="2334"/>
      <c r="AK26" s="2334"/>
      <c r="AL26" s="2334"/>
      <c r="AM26" s="2334"/>
    </row>
    <row r="27" spans="1:40" ht="12.95"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Application!$AG$454</f>
        <v>1</v>
      </c>
      <c r="U27" s="2354"/>
      <c r="V27" s="2354"/>
      <c r="W27" s="2354"/>
      <c r="X27" s="2354"/>
      <c r="Y27" s="2353">
        <f>Application!$AG$454</f>
        <v>1</v>
      </c>
      <c r="Z27" s="2354"/>
      <c r="AA27" s="2354"/>
      <c r="AB27" s="2354"/>
      <c r="AC27" s="2354"/>
      <c r="AD27" s="2353">
        <f>Application!$AG$454</f>
        <v>1</v>
      </c>
      <c r="AE27" s="2354"/>
      <c r="AF27" s="2354"/>
      <c r="AG27" s="2354"/>
      <c r="AH27" s="2354"/>
      <c r="AI27" s="2353">
        <f>Application!$AG$454</f>
        <v>1</v>
      </c>
      <c r="AJ27" s="2354"/>
      <c r="AK27" s="2354"/>
      <c r="AL27" s="2354"/>
      <c r="AM27" s="2354"/>
    </row>
    <row r="28" spans="1:40" ht="12.95"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33">
        <f>IF(ISERROR((T26*T27)),0,(T26*T27))</f>
        <v>30094409.800000001</v>
      </c>
      <c r="U28" s="2334"/>
      <c r="V28" s="2334"/>
      <c r="W28" s="2334"/>
      <c r="X28" s="2334"/>
      <c r="Y28" s="2333">
        <f>IF(ISERROR((Y26*Y27)),0,(Y26*Y27))</f>
        <v>0</v>
      </c>
      <c r="Z28" s="2334"/>
      <c r="AA28" s="2334"/>
      <c r="AB28" s="2334"/>
      <c r="AC28" s="2334"/>
      <c r="AD28" s="2333">
        <f>IF(ISERROR((AD26*AD27)),0,(AD26*AD27))</f>
        <v>34546338</v>
      </c>
      <c r="AE28" s="2334"/>
      <c r="AF28" s="2334"/>
      <c r="AG28" s="2334"/>
      <c r="AH28" s="2334"/>
      <c r="AI28" s="2333">
        <f>IF(ISERROR((AI26*AI27)),0,(AI26*AI27))</f>
        <v>0</v>
      </c>
      <c r="AJ28" s="2334"/>
      <c r="AK28" s="2334"/>
      <c r="AL28" s="2334"/>
      <c r="AM28" s="2334"/>
    </row>
    <row r="29" spans="1:40" ht="12.95" customHeight="1">
      <c r="B29" s="2340" t="s">
        <v>523</v>
      </c>
      <c r="C29" s="2341"/>
      <c r="D29" s="2341"/>
      <c r="E29" s="2341"/>
      <c r="F29" s="2341"/>
      <c r="G29" s="2341"/>
      <c r="H29" s="2341"/>
      <c r="I29" s="2341"/>
      <c r="J29" s="2341"/>
      <c r="K29" s="2341"/>
      <c r="L29" s="2341"/>
      <c r="M29" s="2341"/>
      <c r="N29" s="2341"/>
      <c r="O29" s="2341"/>
      <c r="P29" s="2341"/>
      <c r="Q29" s="2341"/>
      <c r="R29" s="2341"/>
      <c r="S29" s="2342"/>
      <c r="T29" s="2335">
        <f>T28+Y28+AD28+AI28</f>
        <v>64640747.799999997</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2.95" customHeight="1">
      <c r="B30" s="2343" t="s">
        <v>1266</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2.95" customHeight="1">
      <c r="B31" s="2343" t="s">
        <v>1265</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1154</v>
      </c>
      <c r="Z35" s="2361"/>
      <c r="AA35" s="2361"/>
      <c r="AB35" s="2361"/>
      <c r="AC35" s="2361"/>
      <c r="AD35" s="2381" t="s">
        <v>369</v>
      </c>
      <c r="AE35" s="2381"/>
      <c r="AF35" s="2381"/>
      <c r="AG35" s="2381"/>
      <c r="AH35" s="2381"/>
    </row>
    <row r="36" spans="1:76" ht="12.95" customHeight="1">
      <c r="B36" s="407"/>
      <c r="X36" s="412"/>
      <c r="Y36" s="2361"/>
      <c r="Z36" s="2361"/>
      <c r="AA36" s="2361"/>
      <c r="AB36" s="2361"/>
      <c r="AC36" s="2361"/>
      <c r="AD36" s="2381"/>
      <c r="AE36" s="2381"/>
      <c r="AF36" s="2381"/>
      <c r="AG36" s="2381"/>
      <c r="AH36" s="238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2.95"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30094409.800000001</v>
      </c>
      <c r="Z38" s="2334"/>
      <c r="AA38" s="2334"/>
      <c r="AB38" s="2334"/>
      <c r="AC38" s="2334"/>
      <c r="AD38" s="2334">
        <f>IF(T24&gt;=(T23+Y23+AD23+AI23),AD28+AI28,0)</f>
        <v>34546338</v>
      </c>
      <c r="AE38" s="2334"/>
      <c r="AF38" s="2334"/>
      <c r="AG38" s="2334"/>
      <c r="AH38" s="2334"/>
    </row>
    <row r="39" spans="1:76" ht="12.95" customHeight="1">
      <c r="B39" s="2340" t="s">
        <v>1680</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2.95"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1203776</v>
      </c>
      <c r="Z40" s="2334"/>
      <c r="AA40" s="2334"/>
      <c r="AB40" s="2334"/>
      <c r="AC40" s="2334"/>
      <c r="AD40" s="2333">
        <f>ROUND(AD38*AD39,0)</f>
        <v>1381854</v>
      </c>
      <c r="AE40" s="2334"/>
      <c r="AF40" s="2334"/>
      <c r="AG40" s="2334"/>
      <c r="AH40" s="2334"/>
    </row>
    <row r="41" spans="1:76" ht="12.95"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2585630</v>
      </c>
      <c r="Z41" s="2336"/>
      <c r="AA41" s="2336"/>
      <c r="AB41" s="2336"/>
      <c r="AC41" s="2336"/>
      <c r="AD41" s="2336"/>
      <c r="AE41" s="2336"/>
      <c r="AF41" s="2336"/>
      <c r="AG41" s="2336"/>
      <c r="AH41" s="233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8" t="s">
        <v>1276</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2.95" customHeight="1" thickTop="1"/>
    <row r="46" spans="1:76" ht="12.95" customHeight="1">
      <c r="A46" s="404" t="s">
        <v>586</v>
      </c>
      <c r="C46" s="404" t="s">
        <v>282</v>
      </c>
    </row>
    <row r="47" spans="1:76" ht="12.95" customHeight="1">
      <c r="D47" s="404" t="s">
        <v>283</v>
      </c>
      <c r="AB47" s="2350">
        <f>'Sources and Uses Budget'!B105-MAX(IF('Sources and Uses Budget'!B15="",0,'Sources and Uses Budget'!B15),IF(Application!AG403="",0,Application!AG403))</f>
        <v>72517160</v>
      </c>
      <c r="AC47" s="2351"/>
      <c r="AD47" s="2351"/>
      <c r="AE47" s="2351"/>
      <c r="AF47" s="2352"/>
    </row>
    <row r="48" spans="1:76" ht="12.95" customHeight="1">
      <c r="D48" s="404" t="s">
        <v>21</v>
      </c>
      <c r="AB48" s="2350">
        <f>Application!AO647-MAX(IF('Sources and Uses Budget'!B15="",0,'Sources and Uses Budget'!B15),IF(Application!AG403="",0,Application!AG403))</f>
        <v>50797868</v>
      </c>
      <c r="AC48" s="2351"/>
      <c r="AD48" s="2351"/>
      <c r="AE48" s="2351"/>
      <c r="AF48" s="2352"/>
    </row>
    <row r="49" spans="1:76" ht="12.95" customHeight="1">
      <c r="D49" s="404" t="s">
        <v>91</v>
      </c>
      <c r="AB49" s="2350">
        <f>AB47-AB48</f>
        <v>21719292</v>
      </c>
      <c r="AC49" s="2351"/>
      <c r="AD49" s="2351"/>
      <c r="AE49" s="2351"/>
      <c r="AF49" s="2352"/>
    </row>
    <row r="50" spans="1:76" ht="12.95" customHeight="1">
      <c r="D50" s="404" t="s">
        <v>681</v>
      </c>
      <c r="AA50" s="415"/>
      <c r="AB50" s="2377">
        <v>0.84</v>
      </c>
      <c r="AC50" s="2378"/>
      <c r="AD50" s="2378"/>
      <c r="AE50" s="2378"/>
      <c r="AF50" s="2379"/>
    </row>
    <row r="51" spans="1:76" s="417" customFormat="1" ht="12.95" customHeight="1">
      <c r="A51" s="402"/>
      <c r="B51" s="402"/>
      <c r="C51" s="402"/>
      <c r="D51" s="402"/>
      <c r="E51" s="2380" t="s">
        <v>2535</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0">
        <f>ROUND(IF(ISERROR((AB49/AB50)),0,(AB49/AB50)),0)</f>
        <v>25856300</v>
      </c>
      <c r="AC54" s="2351"/>
      <c r="AD54" s="2351"/>
      <c r="AE54" s="2351"/>
      <c r="AF54" s="2352"/>
    </row>
    <row r="55" spans="1:76" ht="12.95" customHeight="1">
      <c r="D55" s="404" t="s">
        <v>333</v>
      </c>
      <c r="AB55" s="2350">
        <f>(AB54/10)</f>
        <v>2585630</v>
      </c>
      <c r="AC55" s="2351"/>
      <c r="AD55" s="2351"/>
      <c r="AE55" s="2351"/>
      <c r="AF55" s="2352"/>
    </row>
    <row r="56" spans="1:76" ht="12.95" customHeight="1">
      <c r="D56" s="404" t="s">
        <v>756</v>
      </c>
      <c r="AB56" s="2350">
        <f>ROUND((IF((Y41&lt;AB55),Y41,AB55)),0)</f>
        <v>2585630</v>
      </c>
      <c r="AC56" s="2351"/>
      <c r="AD56" s="2351"/>
      <c r="AE56" s="2351"/>
      <c r="AF56" s="2352"/>
    </row>
    <row r="57" spans="1:76" ht="12.95" customHeight="1">
      <c r="D57" s="404" t="s">
        <v>755</v>
      </c>
      <c r="AB57" s="2350">
        <f>ROUND((10*AB56*AB50),0)</f>
        <v>21719292</v>
      </c>
      <c r="AC57" s="2351"/>
      <c r="AD57" s="2351"/>
      <c r="AE57" s="2351"/>
      <c r="AF57" s="2352"/>
    </row>
    <row r="58" spans="1:76" ht="12.95" customHeight="1">
      <c r="D58" s="404"/>
      <c r="AB58" s="423"/>
      <c r="AC58" s="423"/>
      <c r="AD58" s="423"/>
      <c r="AE58" s="423"/>
      <c r="AF58" s="423"/>
    </row>
    <row r="59" spans="1:76" ht="12.95" customHeight="1">
      <c r="D59" s="404" t="s">
        <v>754</v>
      </c>
      <c r="AB59" s="2373">
        <f>AB49-AB57</f>
        <v>0</v>
      </c>
      <c r="AC59" s="2373"/>
      <c r="AD59" s="2373"/>
      <c r="AE59" s="2373"/>
      <c r="AF59" s="2373"/>
    </row>
    <row r="60" spans="1:76" ht="12.95" customHeight="1">
      <c r="D60" s="404"/>
      <c r="AB60" s="423"/>
      <c r="AC60" s="423"/>
      <c r="AD60" s="423"/>
      <c r="AE60" s="423"/>
      <c r="AF60" s="423"/>
    </row>
    <row r="61" spans="1:76" s="204" customFormat="1" ht="12.95"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2.95" customHeight="1" thickTop="1"/>
    <row r="63" spans="1:76" ht="12.95" customHeight="1">
      <c r="A63" s="404" t="s">
        <v>589</v>
      </c>
      <c r="C63" s="205" t="s">
        <v>1248</v>
      </c>
      <c r="Y63" s="2374" t="s">
        <v>984</v>
      </c>
      <c r="Z63" s="2374"/>
      <c r="AA63" s="2374"/>
      <c r="AB63" s="2374"/>
      <c r="AC63" s="2374"/>
      <c r="AD63" s="2374" t="s">
        <v>369</v>
      </c>
      <c r="AE63" s="2374"/>
      <c r="AF63" s="2374"/>
      <c r="AG63" s="2374"/>
      <c r="AH63" s="2374"/>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23149546</v>
      </c>
      <c r="Z64" s="2375"/>
      <c r="AA64" s="2375"/>
      <c r="AB64" s="2375"/>
      <c r="AC64" s="2376"/>
      <c r="AD64" s="2335">
        <f>IF(AND(OR(Application!D211="At-Risk",Application!D211="At-Risk and Special Needs"),Application!M367="yes"),AD28+AI28,0)</f>
        <v>0</v>
      </c>
      <c r="AE64" s="2375"/>
      <c r="AF64" s="2375"/>
      <c r="AG64" s="2375"/>
      <c r="AH64" s="2376"/>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0.3</v>
      </c>
      <c r="Z67" s="2388"/>
      <c r="AA67" s="2388"/>
      <c r="AB67" s="2388"/>
      <c r="AC67" s="2388"/>
      <c r="AD67" s="2388">
        <f>IF(Application!Z205="15% set-aside with qualifying low value rehab", 0.95,IF(OR(Application!D211="At-Risk",'Points System'!B26="Yes"),0.13,0))</f>
        <v>0</v>
      </c>
      <c r="AE67" s="2388"/>
      <c r="AF67" s="2388"/>
      <c r="AG67" s="2388"/>
      <c r="AH67" s="2388"/>
    </row>
    <row r="68" spans="1:37" ht="12.95" customHeight="1">
      <c r="C68" s="404"/>
      <c r="D68" s="205" t="s">
        <v>2178</v>
      </c>
      <c r="Y68" s="2334">
        <f>IF(AND(T25=1.3,OR(Y67=0.13,Y67=0.95),NOT(Application!T212&gt;=50%)),0,ROUND(Y64*Y67,0))</f>
        <v>6944864</v>
      </c>
      <c r="Z68" s="2389"/>
      <c r="AA68" s="2389"/>
      <c r="AB68" s="2389"/>
      <c r="AC68" s="2389"/>
      <c r="AD68" s="2334">
        <f>IF(AND(T25=1.3,AD67&gt;0,NOT(Application!T212&gt;=50%)),0,ROUND(AD64*AD67,0))</f>
        <v>0</v>
      </c>
      <c r="AE68" s="2389"/>
      <c r="AF68" s="2389"/>
      <c r="AG68" s="2389"/>
      <c r="AH68" s="2389"/>
      <c r="AK68" s="1192"/>
    </row>
    <row r="69" spans="1:37" ht="12.95" customHeight="1">
      <c r="C69" s="404"/>
      <c r="D69" s="205" t="s">
        <v>2179</v>
      </c>
      <c r="Y69" s="2334">
        <f>IF(OR(Application!Z205="State Farmworker Credit",Application!Z205="$500M (Farmworker Housing)"),Y68+AD68,MIN(Y68+AD68,200000*(Application!G761+Application!O785)))</f>
        <v>6944864</v>
      </c>
      <c r="Z69" s="2334"/>
      <c r="AA69" s="2334"/>
      <c r="AB69" s="2334"/>
      <c r="AC69" s="2334"/>
      <c r="AD69" s="2334"/>
      <c r="AE69" s="2334"/>
      <c r="AF69" s="2334"/>
      <c r="AG69" s="2334"/>
      <c r="AH69" s="2334"/>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7"/>
      <c r="AC72" s="2378"/>
      <c r="AD72" s="2378"/>
      <c r="AE72" s="2378"/>
      <c r="AF72" s="2379"/>
    </row>
    <row r="73" spans="1:37" ht="12.95" customHeight="1">
      <c r="A73" s="404"/>
      <c r="C73" s="404"/>
      <c r="D73" s="404"/>
      <c r="E73" s="2390" t="s">
        <v>1251</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7" ht="12.95"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7" ht="12.95"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83">
        <f>ROUND(IF(ISERROR((AB59/AB72)),0,(AB59/AB72)),0)</f>
        <v>0</v>
      </c>
      <c r="AC77" s="2383"/>
      <c r="AD77" s="2383"/>
      <c r="AE77" s="2383"/>
      <c r="AF77" s="2383"/>
    </row>
    <row r="78" spans="1:37" ht="12.95" customHeight="1">
      <c r="C78" s="404"/>
      <c r="D78" s="205" t="s">
        <v>1253</v>
      </c>
      <c r="AB78" s="2384">
        <f>ROUNDUP(MIN(Y69,AB77),0)</f>
        <v>0</v>
      </c>
      <c r="AC78" s="2385"/>
      <c r="AD78" s="2385"/>
      <c r="AE78" s="2385"/>
      <c r="AF78" s="2386"/>
    </row>
    <row r="79" spans="1:37" ht="12.95" customHeight="1">
      <c r="C79" s="404"/>
      <c r="D79" s="205" t="s">
        <v>1254</v>
      </c>
      <c r="AB79" s="2387">
        <f>AB78*AB72</f>
        <v>0</v>
      </c>
      <c r="AC79" s="2387"/>
      <c r="AD79" s="2387"/>
      <c r="AE79" s="2387"/>
      <c r="AF79" s="2387"/>
    </row>
    <row r="80" spans="1:37" ht="12.95" customHeight="1">
      <c r="C80" s="404"/>
      <c r="D80" s="404"/>
      <c r="AB80" s="425"/>
      <c r="AC80" s="425"/>
      <c r="AD80" s="425"/>
      <c r="AE80" s="425"/>
      <c r="AF80" s="425"/>
    </row>
    <row r="81" spans="1:78" ht="12.95" customHeight="1">
      <c r="D81" s="404" t="s">
        <v>754</v>
      </c>
      <c r="AB81" s="2373">
        <f>AB49-(AB57+AB79)</f>
        <v>0</v>
      </c>
      <c r="AC81" s="2373"/>
      <c r="AD81" s="2373"/>
      <c r="AE81" s="2373"/>
      <c r="AF81" s="2373"/>
    </row>
    <row r="82" spans="1:78" ht="12.95" customHeight="1">
      <c r="F82" s="522"/>
      <c r="J82" s="522" t="str">
        <f>IF(AB81&gt;0,"FUNDING GAP MUST NOT EXCEED ZERO","")</f>
        <v/>
      </c>
    </row>
    <row r="83" spans="1:78" ht="12.95" customHeight="1">
      <c r="D83" s="523"/>
    </row>
    <row r="84" spans="1:78" ht="12.95"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2.95" customHeight="1" thickTop="1"/>
    <row r="86" spans="1:78" ht="12.95" hidden="1" customHeight="1">
      <c r="A86" s="404"/>
      <c r="C86" s="205"/>
    </row>
    <row r="87" spans="1:78" ht="12.95" hidden="1" customHeight="1">
      <c r="D87" s="205"/>
      <c r="AB87" s="2339"/>
      <c r="AC87" s="2339"/>
      <c r="AD87" s="2339"/>
      <c r="AE87" s="2339"/>
      <c r="AF87" s="2339"/>
    </row>
    <row r="88" spans="1:78" ht="12.95" hidden="1"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S803" sqref="S80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2" t="s">
        <v>1299</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1"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1" t="s">
        <v>1303</v>
      </c>
      <c r="AF7" s="2451"/>
      <c r="AG7" s="2451"/>
      <c r="AH7" s="2451"/>
      <c r="AI7" s="2451"/>
      <c r="AJ7" s="2451"/>
      <c r="AK7" s="2451"/>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3" t="s">
        <v>545</v>
      </c>
      <c r="C12" s="2593"/>
      <c r="D12" s="540"/>
      <c r="E12" s="2454" t="s">
        <v>2549</v>
      </c>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6"/>
      <c r="AK12" s="540"/>
      <c r="AL12" s="540"/>
      <c r="AM12" s="540"/>
      <c r="AN12" s="535"/>
      <c r="AO12" s="557"/>
    </row>
    <row r="13" spans="1:41" s="536" customFormat="1" ht="12.75" customHeight="1">
      <c r="A13" s="540"/>
      <c r="D13" s="546"/>
      <c r="E13" s="2457"/>
      <c r="F13" s="2458"/>
      <c r="G13" s="2458"/>
      <c r="H13" s="2458"/>
      <c r="I13" s="2458"/>
      <c r="J13" s="2458"/>
      <c r="K13" s="2458"/>
      <c r="L13" s="2458"/>
      <c r="M13" s="2458"/>
      <c r="N13" s="2458"/>
      <c r="O13" s="2458"/>
      <c r="P13" s="2458"/>
      <c r="Q13" s="2458"/>
      <c r="R13" s="2458"/>
      <c r="S13" s="2458"/>
      <c r="T13" s="2458"/>
      <c r="U13" s="2458"/>
      <c r="V13" s="2458"/>
      <c r="W13" s="2458"/>
      <c r="X13" s="2458"/>
      <c r="Y13" s="2458"/>
      <c r="Z13" s="2458"/>
      <c r="AA13" s="2458"/>
      <c r="AB13" s="2458"/>
      <c r="AC13" s="2458"/>
      <c r="AD13" s="2458"/>
      <c r="AE13" s="2458"/>
      <c r="AF13" s="2458"/>
      <c r="AG13" s="2458"/>
      <c r="AH13" s="2458"/>
      <c r="AI13" s="2458"/>
      <c r="AJ13" s="2459"/>
      <c r="AK13" s="540"/>
      <c r="AL13" s="540"/>
      <c r="AM13" s="540"/>
      <c r="AN13" s="535"/>
      <c r="AO13" s="557"/>
    </row>
    <row r="14" spans="1:41" s="536" customFormat="1" ht="12.75" customHeight="1">
      <c r="A14" s="540"/>
      <c r="D14" s="540"/>
      <c r="E14" s="2610"/>
      <c r="F14" s="2611"/>
      <c r="G14" s="2611"/>
      <c r="H14" s="2611"/>
      <c r="I14" s="2611"/>
      <c r="J14" s="2611"/>
      <c r="K14" s="2611"/>
      <c r="L14" s="2611"/>
      <c r="M14" s="2611"/>
      <c r="N14" s="2611"/>
      <c r="O14" s="2611"/>
      <c r="P14" s="2611"/>
      <c r="Q14" s="2611"/>
      <c r="R14" s="2611"/>
      <c r="S14" s="2611"/>
      <c r="T14" s="2611"/>
      <c r="U14" s="2611"/>
      <c r="V14" s="2611"/>
      <c r="W14" s="2611"/>
      <c r="X14" s="2611"/>
      <c r="Y14" s="2611"/>
      <c r="Z14" s="2611"/>
      <c r="AA14" s="2611"/>
      <c r="AB14" s="2611"/>
      <c r="AC14" s="2611"/>
      <c r="AD14" s="2611"/>
      <c r="AE14" s="2611"/>
      <c r="AF14" s="2611"/>
      <c r="AG14" s="2611"/>
      <c r="AH14" s="2611"/>
      <c r="AI14" s="2611"/>
      <c r="AJ14" s="26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3" t="s">
        <v>545</v>
      </c>
      <c r="C16" s="2593"/>
      <c r="D16" s="540"/>
      <c r="E16" s="2454" t="s">
        <v>2550</v>
      </c>
      <c r="F16" s="2455"/>
      <c r="G16" s="2455"/>
      <c r="H16" s="2455"/>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6"/>
      <c r="AK16" s="540"/>
      <c r="AL16" s="540"/>
      <c r="AM16" s="540"/>
      <c r="AN16" s="535"/>
    </row>
    <row r="17" spans="1:50" s="536" customFormat="1" ht="12.75" customHeight="1">
      <c r="A17" s="540"/>
      <c r="B17" s="540"/>
      <c r="C17" s="540"/>
      <c r="D17" s="540"/>
      <c r="E17" s="2457"/>
      <c r="F17" s="2458"/>
      <c r="G17" s="2458"/>
      <c r="H17" s="2458"/>
      <c r="I17" s="2458"/>
      <c r="J17" s="2458"/>
      <c r="K17" s="2458"/>
      <c r="L17" s="2458"/>
      <c r="M17" s="2458"/>
      <c r="N17" s="2458"/>
      <c r="O17" s="2458"/>
      <c r="P17" s="2458"/>
      <c r="Q17" s="2458"/>
      <c r="R17" s="2458"/>
      <c r="S17" s="2458"/>
      <c r="T17" s="2458"/>
      <c r="U17" s="2458"/>
      <c r="V17" s="2458"/>
      <c r="W17" s="2458"/>
      <c r="X17" s="2458"/>
      <c r="Y17" s="2458"/>
      <c r="Z17" s="2458"/>
      <c r="AA17" s="2458"/>
      <c r="AB17" s="2458"/>
      <c r="AC17" s="2458"/>
      <c r="AD17" s="2458"/>
      <c r="AE17" s="2458"/>
      <c r="AF17" s="2458"/>
      <c r="AG17" s="2458"/>
      <c r="AH17" s="2458"/>
      <c r="AI17" s="2458"/>
      <c r="AJ17" s="2459"/>
      <c r="AK17" s="540"/>
      <c r="AL17" s="540"/>
      <c r="AM17" s="540"/>
      <c r="AN17" s="535"/>
    </row>
    <row r="18" spans="1:50" s="536" customFormat="1" ht="12.75" customHeight="1">
      <c r="A18" s="540"/>
      <c r="B18" s="540"/>
      <c r="C18" s="1135"/>
      <c r="D18" s="540"/>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3" t="s">
        <v>545</v>
      </c>
      <c r="C20" s="2593"/>
      <c r="D20" s="540"/>
      <c r="E20" s="2454" t="s">
        <v>1979</v>
      </c>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6"/>
      <c r="AK20" s="540"/>
      <c r="AL20" s="540"/>
      <c r="AM20" s="540"/>
      <c r="AN20" s="535"/>
    </row>
    <row r="21" spans="1:50" s="536" customFormat="1" ht="12.75" customHeight="1">
      <c r="A21" s="540"/>
      <c r="B21" s="546"/>
      <c r="C21" s="546"/>
      <c r="D21" s="546"/>
      <c r="E21" s="2610"/>
      <c r="F21" s="2611"/>
      <c r="G21" s="2611"/>
      <c r="H21" s="2611"/>
      <c r="I21" s="2611"/>
      <c r="J21" s="2611"/>
      <c r="K21" s="2611"/>
      <c r="L21" s="2611"/>
      <c r="M21" s="2611"/>
      <c r="N21" s="2611"/>
      <c r="O21" s="2611"/>
      <c r="P21" s="2611"/>
      <c r="Q21" s="2611"/>
      <c r="R21" s="2611"/>
      <c r="S21" s="2611"/>
      <c r="T21" s="2611"/>
      <c r="U21" s="2611"/>
      <c r="V21" s="2611"/>
      <c r="W21" s="2611"/>
      <c r="X21" s="2611"/>
      <c r="Y21" s="2611"/>
      <c r="Z21" s="2611"/>
      <c r="AA21" s="2611"/>
      <c r="AB21" s="2611"/>
      <c r="AC21" s="2611"/>
      <c r="AD21" s="2611"/>
      <c r="AE21" s="2611"/>
      <c r="AF21" s="2611"/>
      <c r="AG21" s="2611"/>
      <c r="AH21" s="2611"/>
      <c r="AI21" s="2611"/>
      <c r="AJ21" s="2612"/>
      <c r="AK21" s="540"/>
      <c r="AL21" s="540"/>
      <c r="AM21" s="540"/>
      <c r="AN21" s="535"/>
      <c r="AO21" s="536">
        <f>IF(AND(B12="Yes",B16="Yes",B20="Yes"),10,0)</f>
        <v>10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3" t="s">
        <v>591</v>
      </c>
      <c r="C26" s="2593"/>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4"/>
      <c r="AH26" s="2624"/>
      <c r="AI26" s="2624"/>
      <c r="AJ26" s="2625"/>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3" t="s">
        <v>591</v>
      </c>
      <c r="C30" s="2593"/>
      <c r="D30" s="546"/>
      <c r="E30" s="2626" t="s">
        <v>2639</v>
      </c>
      <c r="F30" s="2627"/>
      <c r="G30" s="2627"/>
      <c r="H30" s="2627"/>
      <c r="I30" s="2627"/>
      <c r="J30" s="2627"/>
      <c r="K30" s="2627"/>
      <c r="L30" s="2627"/>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8"/>
      <c r="AK30" s="540"/>
      <c r="AL30" s="540"/>
      <c r="AM30" s="540"/>
      <c r="AN30" s="535"/>
      <c r="AO30" s="549">
        <f>IF($B30="yes",9,0)</f>
        <v>0</v>
      </c>
    </row>
    <row r="31" spans="1:50" s="536" customFormat="1" ht="12.75" customHeight="1">
      <c r="A31" s="540"/>
      <c r="B31" s="540"/>
      <c r="C31" s="540"/>
      <c r="E31" s="2632"/>
      <c r="F31" s="2633"/>
      <c r="G31" s="2633"/>
      <c r="H31" s="2633"/>
      <c r="I31" s="2633"/>
      <c r="J31" s="2633"/>
      <c r="K31" s="2633"/>
      <c r="L31" s="2633"/>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3" t="s">
        <v>591</v>
      </c>
      <c r="C33" s="2593"/>
      <c r="D33" s="546"/>
      <c r="E33" s="2626" t="s">
        <v>2556</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49">
        <f>IF($B39="yes",9,0)</f>
        <v>0</v>
      </c>
    </row>
    <row r="34" spans="1:43" s="536" customFormat="1" ht="12.75" customHeight="1">
      <c r="A34" s="540"/>
      <c r="B34" s="540"/>
      <c r="C34" s="540"/>
      <c r="D34" s="546"/>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c r="AO34" s="536">
        <f>MAX(AO30,AO31,AO32,AO33)</f>
        <v>0</v>
      </c>
      <c r="AP34" s="536" t="s">
        <v>1305</v>
      </c>
    </row>
    <row r="35" spans="1:43" s="536" customFormat="1" ht="12.75" customHeight="1">
      <c r="A35" s="540"/>
      <c r="B35" s="540"/>
      <c r="C35" s="540"/>
      <c r="E35" s="2632"/>
      <c r="F35" s="2633"/>
      <c r="G35" s="2633"/>
      <c r="H35" s="2633"/>
      <c r="I35" s="2633"/>
      <c r="J35" s="2633"/>
      <c r="K35" s="2633"/>
      <c r="L35" s="2633"/>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3" t="s">
        <v>591</v>
      </c>
      <c r="C37" s="2593"/>
      <c r="D37" s="1136"/>
      <c r="E37" s="2619" t="s">
        <v>2558</v>
      </c>
      <c r="F37" s="2620"/>
      <c r="G37" s="2620"/>
      <c r="H37" s="2620"/>
      <c r="I37" s="2620"/>
      <c r="J37" s="2620"/>
      <c r="K37" s="2620"/>
      <c r="L37" s="2620"/>
      <c r="M37" s="2620"/>
      <c r="N37" s="2620"/>
      <c r="O37" s="2620"/>
      <c r="P37" s="2620"/>
      <c r="Q37" s="2620"/>
      <c r="R37" s="2620"/>
      <c r="S37" s="2620"/>
      <c r="T37" s="2620"/>
      <c r="U37" s="2620"/>
      <c r="V37" s="2620"/>
      <c r="W37" s="2620"/>
      <c r="X37" s="2620"/>
      <c r="Y37" s="2620"/>
      <c r="Z37" s="2620"/>
      <c r="AA37" s="2620"/>
      <c r="AB37" s="2620"/>
      <c r="AC37" s="2620"/>
      <c r="AD37" s="2620"/>
      <c r="AE37" s="2620"/>
      <c r="AF37" s="2620"/>
      <c r="AG37" s="2620"/>
      <c r="AH37" s="2620"/>
      <c r="AI37" s="2620"/>
      <c r="AJ37" s="262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3" t="s">
        <v>591</v>
      </c>
      <c r="C39" s="2593"/>
      <c r="D39" s="1136"/>
      <c r="E39" s="2619" t="s">
        <v>2557</v>
      </c>
      <c r="F39" s="2620"/>
      <c r="G39" s="2620"/>
      <c r="H39" s="2620"/>
      <c r="I39" s="2620"/>
      <c r="J39" s="2620"/>
      <c r="K39" s="2620"/>
      <c r="L39" s="2620"/>
      <c r="M39" s="2620"/>
      <c r="N39" s="2620"/>
      <c r="O39" s="2620"/>
      <c r="P39" s="2620"/>
      <c r="Q39" s="2620"/>
      <c r="R39" s="2620"/>
      <c r="S39" s="2620"/>
      <c r="T39" s="2620"/>
      <c r="U39" s="2620"/>
      <c r="V39" s="2620"/>
      <c r="W39" s="2620"/>
      <c r="X39" s="2620"/>
      <c r="Y39" s="2620"/>
      <c r="Z39" s="2620"/>
      <c r="AA39" s="2620"/>
      <c r="AB39" s="2620"/>
      <c r="AC39" s="2620"/>
      <c r="AD39" s="2620"/>
      <c r="AE39" s="2620"/>
      <c r="AF39" s="2620"/>
      <c r="AG39" s="2620"/>
      <c r="AH39" s="2620"/>
      <c r="AI39" s="2620"/>
      <c r="AJ39" s="262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3" t="s">
        <v>591</v>
      </c>
      <c r="C43" s="2593"/>
      <c r="D43" s="546"/>
      <c r="E43" s="2594" t="s">
        <v>2640</v>
      </c>
      <c r="F43" s="2595"/>
      <c r="G43" s="2595"/>
      <c r="H43" s="2595"/>
      <c r="I43" s="2595"/>
      <c r="J43" s="2595"/>
      <c r="K43" s="2595"/>
      <c r="L43" s="2595"/>
      <c r="M43" s="2595"/>
      <c r="N43" s="2595"/>
      <c r="O43" s="2595"/>
      <c r="P43" s="2595"/>
      <c r="Q43" s="2595"/>
      <c r="R43" s="2595"/>
      <c r="S43" s="2595"/>
      <c r="T43" s="2595"/>
      <c r="U43" s="2595"/>
      <c r="V43" s="2595"/>
      <c r="W43" s="2595"/>
      <c r="X43" s="2595"/>
      <c r="Y43" s="2595"/>
      <c r="Z43" s="2595"/>
      <c r="AA43" s="2595"/>
      <c r="AB43" s="2595"/>
      <c r="AC43" s="2595"/>
      <c r="AD43" s="2595"/>
      <c r="AE43" s="2595"/>
      <c r="AF43" s="2595"/>
      <c r="AG43" s="2595"/>
      <c r="AH43" s="2595"/>
      <c r="AI43" s="2595"/>
      <c r="AJ43" s="2596"/>
      <c r="AK43" s="540"/>
      <c r="AL43" s="540"/>
      <c r="AM43" s="540"/>
      <c r="AN43" s="535"/>
      <c r="AO43" s="549">
        <f>IF($B43="yes",8,0)</f>
        <v>0</v>
      </c>
      <c r="AP43" s="14"/>
    </row>
    <row r="44" spans="1:43" s="536" customFormat="1" ht="12.75" customHeight="1">
      <c r="A44" s="540"/>
      <c r="B44" s="540"/>
      <c r="C44" s="540"/>
      <c r="D44" s="550"/>
      <c r="E44" s="2635"/>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3" t="s">
        <v>591</v>
      </c>
      <c r="C46" s="2593"/>
      <c r="D46" s="546"/>
      <c r="E46" s="2626" t="s">
        <v>2641</v>
      </c>
      <c r="F46" s="2627"/>
      <c r="G46" s="2627"/>
      <c r="H46" s="2627"/>
      <c r="I46" s="2627"/>
      <c r="J46" s="2627"/>
      <c r="K46" s="2627"/>
      <c r="L46" s="2627"/>
      <c r="M46" s="2627"/>
      <c r="N46" s="2627"/>
      <c r="O46" s="2627"/>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8"/>
      <c r="AK46" s="540"/>
      <c r="AL46" s="540"/>
      <c r="AM46" s="540"/>
      <c r="AN46" s="535"/>
      <c r="AO46" s="549">
        <f>IF($B52="yes",8,0)</f>
        <v>0</v>
      </c>
    </row>
    <row r="47" spans="1:43" s="536" customFormat="1" ht="12.75" customHeight="1">
      <c r="A47" s="540"/>
      <c r="B47" s="540"/>
      <c r="C47" s="540"/>
      <c r="D47" s="549"/>
      <c r="E47" s="2632"/>
      <c r="F47" s="2633"/>
      <c r="G47" s="2633"/>
      <c r="H47" s="2633"/>
      <c r="I47" s="2633"/>
      <c r="J47" s="2633"/>
      <c r="K47" s="2633"/>
      <c r="L47" s="2633"/>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4"/>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3" t="s">
        <v>591</v>
      </c>
      <c r="C49" s="2593"/>
      <c r="D49" s="546"/>
      <c r="E49" s="2454" t="s">
        <v>2642</v>
      </c>
      <c r="F49" s="2455"/>
      <c r="G49" s="2455"/>
      <c r="H49" s="2455"/>
      <c r="I49" s="2455"/>
      <c r="J49" s="2455"/>
      <c r="K49" s="2455"/>
      <c r="L49" s="2455"/>
      <c r="M49" s="2455"/>
      <c r="N49" s="2455"/>
      <c r="O49" s="2455"/>
      <c r="P49" s="2455"/>
      <c r="Q49" s="2455"/>
      <c r="R49" s="2455"/>
      <c r="S49" s="2455"/>
      <c r="T49" s="2455"/>
      <c r="U49" s="2455"/>
      <c r="V49" s="2455"/>
      <c r="W49" s="2455"/>
      <c r="X49" s="2455"/>
      <c r="Y49" s="2455"/>
      <c r="Z49" s="2455"/>
      <c r="AA49" s="2455"/>
      <c r="AB49" s="2455"/>
      <c r="AC49" s="2455"/>
      <c r="AD49" s="2455"/>
      <c r="AE49" s="2455"/>
      <c r="AF49" s="2455"/>
      <c r="AG49" s="2455"/>
      <c r="AH49" s="2455"/>
      <c r="AI49" s="2455"/>
      <c r="AJ49" s="2456"/>
      <c r="AK49" s="540"/>
      <c r="AL49" s="540"/>
      <c r="AM49" s="540"/>
      <c r="AN49" s="535"/>
      <c r="AO49" s="549"/>
    </row>
    <row r="50" spans="1:42" s="536" customFormat="1" ht="12.75" customHeight="1">
      <c r="A50" s="540"/>
      <c r="B50" s="540"/>
      <c r="C50" s="540"/>
      <c r="D50" s="549"/>
      <c r="E50" s="2610"/>
      <c r="F50" s="2611"/>
      <c r="G50" s="2611"/>
      <c r="H50" s="2611"/>
      <c r="I50" s="2611"/>
      <c r="J50" s="2611"/>
      <c r="K50" s="2611"/>
      <c r="L50" s="2611"/>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3" t="s">
        <v>591</v>
      </c>
      <c r="C52" s="2593"/>
      <c r="D52" s="546"/>
      <c r="E52" s="2619" t="s">
        <v>2643</v>
      </c>
      <c r="F52" s="2620"/>
      <c r="G52" s="2620"/>
      <c r="H52" s="2620"/>
      <c r="I52" s="2620"/>
      <c r="J52" s="2620"/>
      <c r="K52" s="2620"/>
      <c r="L52" s="2620"/>
      <c r="M52" s="2620"/>
      <c r="N52" s="2620"/>
      <c r="O52" s="2620"/>
      <c r="P52" s="2620"/>
      <c r="Q52" s="2620"/>
      <c r="R52" s="2620"/>
      <c r="S52" s="2620"/>
      <c r="T52" s="2620"/>
      <c r="U52" s="2620"/>
      <c r="V52" s="2620"/>
      <c r="W52" s="2620"/>
      <c r="X52" s="2620"/>
      <c r="Y52" s="2620"/>
      <c r="Z52" s="2620"/>
      <c r="AA52" s="2620"/>
      <c r="AB52" s="2620"/>
      <c r="AC52" s="2620"/>
      <c r="AD52" s="2620"/>
      <c r="AE52" s="2620"/>
      <c r="AF52" s="2620"/>
      <c r="AG52" s="2620"/>
      <c r="AH52" s="2620"/>
      <c r="AI52" s="2620"/>
      <c r="AJ52" s="262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3" t="s">
        <v>591</v>
      </c>
      <c r="C56" s="2593"/>
      <c r="D56" s="546"/>
      <c r="E56" s="2454" t="s">
        <v>2559</v>
      </c>
      <c r="F56" s="2455"/>
      <c r="G56" s="2455"/>
      <c r="H56" s="2455"/>
      <c r="I56" s="2455"/>
      <c r="J56" s="2455"/>
      <c r="K56" s="2455"/>
      <c r="L56" s="2455"/>
      <c r="M56" s="2455"/>
      <c r="N56" s="2455"/>
      <c r="O56" s="2455"/>
      <c r="P56" s="2455"/>
      <c r="Q56" s="2455"/>
      <c r="R56" s="2455"/>
      <c r="S56" s="2455"/>
      <c r="T56" s="2455"/>
      <c r="U56" s="2455"/>
      <c r="V56" s="2455"/>
      <c r="W56" s="2455"/>
      <c r="X56" s="2455"/>
      <c r="Y56" s="2455"/>
      <c r="Z56" s="2455"/>
      <c r="AA56" s="2455"/>
      <c r="AB56" s="2455"/>
      <c r="AC56" s="2455"/>
      <c r="AD56" s="2455"/>
      <c r="AE56" s="2455"/>
      <c r="AF56" s="2455"/>
      <c r="AG56" s="2455"/>
      <c r="AH56" s="2455"/>
      <c r="AI56" s="2455"/>
      <c r="AJ56" s="2456"/>
      <c r="AK56" s="540"/>
      <c r="AL56" s="540"/>
      <c r="AM56" s="540"/>
      <c r="AN56" s="535"/>
      <c r="AO56" s="549">
        <f>IF($B59="yes",7,0)</f>
        <v>0</v>
      </c>
    </row>
    <row r="57" spans="1:42" s="536" customFormat="1" ht="12.75" customHeight="1">
      <c r="A57" s="540"/>
      <c r="B57" s="540"/>
      <c r="C57" s="540"/>
      <c r="D57" s="549"/>
      <c r="E57" s="2610"/>
      <c r="F57" s="2611"/>
      <c r="G57" s="2611"/>
      <c r="H57" s="2611"/>
      <c r="I57" s="2611"/>
      <c r="J57" s="2611"/>
      <c r="K57" s="2611"/>
      <c r="L57" s="2611"/>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2"/>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3" t="s">
        <v>591</v>
      </c>
      <c r="C59" s="2593"/>
      <c r="D59" s="546"/>
      <c r="E59" s="2619" t="s">
        <v>2560</v>
      </c>
      <c r="F59" s="2620"/>
      <c r="G59" s="2620"/>
      <c r="H59" s="2620"/>
      <c r="I59" s="2620"/>
      <c r="J59" s="2620"/>
      <c r="K59" s="2620"/>
      <c r="L59" s="2620"/>
      <c r="M59" s="2620"/>
      <c r="N59" s="2620"/>
      <c r="O59" s="2620"/>
      <c r="P59" s="2620"/>
      <c r="Q59" s="2620"/>
      <c r="R59" s="2620"/>
      <c r="S59" s="2620"/>
      <c r="T59" s="2620"/>
      <c r="U59" s="2620"/>
      <c r="V59" s="2620"/>
      <c r="W59" s="2620"/>
      <c r="X59" s="2620"/>
      <c r="Y59" s="2620"/>
      <c r="Z59" s="2620"/>
      <c r="AA59" s="2620"/>
      <c r="AB59" s="2620"/>
      <c r="AC59" s="2620"/>
      <c r="AD59" s="2620"/>
      <c r="AE59" s="2620"/>
      <c r="AF59" s="2620"/>
      <c r="AG59" s="2620"/>
      <c r="AH59" s="2620"/>
      <c r="AI59" s="2620"/>
      <c r="AJ59" s="262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10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585">
        <f>AO60</f>
        <v>10</v>
      </c>
      <c r="AL61" s="2586"/>
      <c r="AM61" s="258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1" t="s">
        <v>1308</v>
      </c>
      <c r="AF64" s="2451"/>
      <c r="AG64" s="2451"/>
      <c r="AH64" s="2451"/>
      <c r="AI64" s="2451"/>
      <c r="AJ64" s="2451"/>
      <c r="AK64" s="2451"/>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3" t="s">
        <v>591</v>
      </c>
      <c r="C67" s="2593"/>
      <c r="D67" s="546" t="s">
        <v>1309</v>
      </c>
      <c r="E67" s="2594" t="s">
        <v>1980</v>
      </c>
      <c r="F67" s="2595"/>
      <c r="G67" s="2595"/>
      <c r="H67" s="2595"/>
      <c r="I67" s="2595"/>
      <c r="J67" s="2595"/>
      <c r="K67" s="2595"/>
      <c r="L67" s="2595"/>
      <c r="M67" s="2595"/>
      <c r="N67" s="2595"/>
      <c r="O67" s="2595"/>
      <c r="P67" s="2595"/>
      <c r="Q67" s="2595"/>
      <c r="R67" s="2595"/>
      <c r="S67" s="2595"/>
      <c r="T67" s="2595"/>
      <c r="U67" s="2595"/>
      <c r="V67" s="2595"/>
      <c r="W67" s="2595"/>
      <c r="X67" s="2595"/>
      <c r="Y67" s="2595"/>
      <c r="Z67" s="2595"/>
      <c r="AA67" s="2595"/>
      <c r="AB67" s="2595"/>
      <c r="AC67" s="2595"/>
      <c r="AD67" s="2595"/>
      <c r="AE67" s="2595"/>
      <c r="AF67" s="2595"/>
      <c r="AG67" s="2595"/>
      <c r="AH67" s="2595"/>
      <c r="AI67" s="2595"/>
      <c r="AJ67" s="2596"/>
      <c r="AK67" s="543"/>
      <c r="AL67" s="540"/>
      <c r="AM67" s="540"/>
      <c r="AN67" s="535"/>
      <c r="AO67" s="549">
        <f>IF($B67="yes",10,0)</f>
        <v>0</v>
      </c>
    </row>
    <row r="68" spans="1:42" s="536" customFormat="1" ht="12.75" customHeight="1">
      <c r="A68" s="538"/>
      <c r="B68" s="540"/>
      <c r="C68" s="540"/>
      <c r="D68" s="550"/>
      <c r="E68" s="2597"/>
      <c r="F68" s="2598"/>
      <c r="G68" s="2598"/>
      <c r="H68" s="2598"/>
      <c r="I68" s="2598"/>
      <c r="J68" s="2598"/>
      <c r="K68" s="2598"/>
      <c r="L68" s="2598"/>
      <c r="M68" s="2598"/>
      <c r="N68" s="2598"/>
      <c r="O68" s="2598"/>
      <c r="P68" s="2598"/>
      <c r="Q68" s="2598"/>
      <c r="R68" s="2598"/>
      <c r="S68" s="2598"/>
      <c r="T68" s="2598"/>
      <c r="U68" s="2598"/>
      <c r="V68" s="2598"/>
      <c r="W68" s="2598"/>
      <c r="X68" s="2598"/>
      <c r="Y68" s="2598"/>
      <c r="Z68" s="2598"/>
      <c r="AA68" s="2598"/>
      <c r="AB68" s="2598"/>
      <c r="AC68" s="2598"/>
      <c r="AD68" s="2598"/>
      <c r="AE68" s="2598"/>
      <c r="AF68" s="2598"/>
      <c r="AG68" s="2598"/>
      <c r="AH68" s="2598"/>
      <c r="AI68" s="2598"/>
      <c r="AJ68" s="2599"/>
      <c r="AK68" s="543"/>
      <c r="AL68" s="540"/>
      <c r="AM68" s="540"/>
      <c r="AN68" s="535"/>
      <c r="AO68" s="549">
        <f>IF(AND($B73="yes",OR(E74="Yes",E75="Yes",E76="Yes")),10,0)</f>
        <v>0</v>
      </c>
    </row>
    <row r="69" spans="1:42" s="536" customFormat="1" ht="12.75" customHeight="1">
      <c r="A69" s="538"/>
      <c r="B69" s="540"/>
      <c r="C69" s="540"/>
      <c r="D69" s="550"/>
      <c r="E69" s="2597"/>
      <c r="F69" s="2598"/>
      <c r="G69" s="2598"/>
      <c r="H69" s="2598"/>
      <c r="I69" s="2598"/>
      <c r="J69" s="2598"/>
      <c r="K69" s="2598"/>
      <c r="L69" s="2598"/>
      <c r="M69" s="2598"/>
      <c r="N69" s="2598"/>
      <c r="O69" s="2598"/>
      <c r="P69" s="2598"/>
      <c r="Q69" s="2598"/>
      <c r="R69" s="2598"/>
      <c r="S69" s="2598"/>
      <c r="T69" s="2598"/>
      <c r="U69" s="2598"/>
      <c r="V69" s="2598"/>
      <c r="W69" s="2598"/>
      <c r="X69" s="2598"/>
      <c r="Y69" s="2598"/>
      <c r="Z69" s="2598"/>
      <c r="AA69" s="2598"/>
      <c r="AB69" s="2598"/>
      <c r="AC69" s="2598"/>
      <c r="AD69" s="2598"/>
      <c r="AE69" s="2598"/>
      <c r="AF69" s="2598"/>
      <c r="AG69" s="2598"/>
      <c r="AH69" s="2598"/>
      <c r="AI69" s="2598"/>
      <c r="AJ69" s="2599"/>
      <c r="AK69" s="543"/>
      <c r="AL69" s="540"/>
      <c r="AM69" s="540"/>
      <c r="AN69" s="535"/>
      <c r="AO69" s="549">
        <f>IF($B78="yes",10,0)</f>
        <v>0</v>
      </c>
    </row>
    <row r="70" spans="1:42" s="536" customFormat="1" ht="12.75" customHeight="1">
      <c r="A70" s="538"/>
      <c r="B70" s="540"/>
      <c r="C70" s="540"/>
      <c r="D70" s="550"/>
      <c r="E70" s="2597"/>
      <c r="F70" s="2598"/>
      <c r="G70" s="2598"/>
      <c r="H70" s="2598"/>
      <c r="I70" s="2598"/>
      <c r="J70" s="2598"/>
      <c r="K70" s="2598"/>
      <c r="L70" s="2598"/>
      <c r="M70" s="2598"/>
      <c r="N70" s="2598"/>
      <c r="O70" s="2598"/>
      <c r="P70" s="2598"/>
      <c r="Q70" s="2598"/>
      <c r="R70" s="2598"/>
      <c r="S70" s="2598"/>
      <c r="T70" s="2598"/>
      <c r="U70" s="2598"/>
      <c r="V70" s="2598"/>
      <c r="W70" s="2598"/>
      <c r="X70" s="2598"/>
      <c r="Y70" s="2598"/>
      <c r="Z70" s="2598"/>
      <c r="AA70" s="2598"/>
      <c r="AB70" s="2598"/>
      <c r="AC70" s="2598"/>
      <c r="AD70" s="2598"/>
      <c r="AE70" s="2598"/>
      <c r="AF70" s="2598"/>
      <c r="AG70" s="2598"/>
      <c r="AH70" s="2598"/>
      <c r="AI70" s="2598"/>
      <c r="AJ70" s="2599"/>
      <c r="AK70" s="543"/>
      <c r="AL70" s="540"/>
      <c r="AM70" s="540"/>
      <c r="AN70" s="535"/>
      <c r="AO70" s="549">
        <f>IF($B81="yes",10,0)</f>
        <v>0</v>
      </c>
    </row>
    <row r="71" spans="1:42" s="536" customFormat="1" ht="12.75" customHeight="1">
      <c r="A71" s="538"/>
      <c r="B71" s="540"/>
      <c r="C71" s="540"/>
      <c r="D71" s="550"/>
      <c r="E71" s="2635"/>
      <c r="F71" s="2636"/>
      <c r="G71" s="2636"/>
      <c r="H71" s="2636"/>
      <c r="I71" s="2636"/>
      <c r="J71" s="2636"/>
      <c r="K71" s="2636"/>
      <c r="L71" s="2636"/>
      <c r="M71" s="2636"/>
      <c r="N71" s="2636"/>
      <c r="O71" s="2636"/>
      <c r="P71" s="2636"/>
      <c r="Q71" s="2636"/>
      <c r="R71" s="2636"/>
      <c r="S71" s="2636"/>
      <c r="T71" s="2636"/>
      <c r="U71" s="2636"/>
      <c r="V71" s="2636"/>
      <c r="W71" s="2636"/>
      <c r="X71" s="2636"/>
      <c r="Y71" s="2636"/>
      <c r="Z71" s="2636"/>
      <c r="AA71" s="2636"/>
      <c r="AB71" s="2636"/>
      <c r="AC71" s="2636"/>
      <c r="AD71" s="2636"/>
      <c r="AE71" s="2636"/>
      <c r="AF71" s="2636"/>
      <c r="AG71" s="2636"/>
      <c r="AH71" s="2636"/>
      <c r="AI71" s="2636"/>
      <c r="AJ71" s="2637"/>
      <c r="AK71" s="543"/>
      <c r="AL71" s="540"/>
      <c r="AM71" s="540"/>
      <c r="AN71" s="535"/>
      <c r="AO71" s="536">
        <f>IF(SUM(AO67:AO70)&gt;10,10,(SUM(AO67:AO70)))</f>
        <v>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3" t="s">
        <v>591</v>
      </c>
      <c r="C73" s="2593"/>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1" t="s">
        <v>591</v>
      </c>
      <c r="F74" s="2593"/>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9" t="s">
        <v>591</v>
      </c>
      <c r="F75" s="2640"/>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9" t="s">
        <v>591</v>
      </c>
      <c r="F76" s="2640"/>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3" t="s">
        <v>591</v>
      </c>
      <c r="C78" s="2593"/>
      <c r="D78" s="546" t="s">
        <v>1314</v>
      </c>
      <c r="E78" s="2454" t="s">
        <v>1728</v>
      </c>
      <c r="F78" s="2455"/>
      <c r="G78" s="2455"/>
      <c r="H78" s="2455"/>
      <c r="I78" s="2455"/>
      <c r="J78" s="2455"/>
      <c r="K78" s="2455"/>
      <c r="L78" s="2455"/>
      <c r="M78" s="2455"/>
      <c r="N78" s="2455"/>
      <c r="O78" s="2455"/>
      <c r="P78" s="2455"/>
      <c r="Q78" s="2455"/>
      <c r="R78" s="2455"/>
      <c r="S78" s="2455"/>
      <c r="T78" s="2455"/>
      <c r="U78" s="2455"/>
      <c r="V78" s="2455"/>
      <c r="W78" s="2455"/>
      <c r="X78" s="2455"/>
      <c r="Y78" s="2455"/>
      <c r="Z78" s="2455"/>
      <c r="AA78" s="2455"/>
      <c r="AB78" s="2455"/>
      <c r="AC78" s="2455"/>
      <c r="AD78" s="2455"/>
      <c r="AE78" s="2455"/>
      <c r="AF78" s="2455"/>
      <c r="AG78" s="2455"/>
      <c r="AH78" s="2455"/>
      <c r="AI78" s="2455"/>
      <c r="AJ78" s="2456"/>
      <c r="AK78" s="543"/>
      <c r="AL78" s="540"/>
      <c r="AM78" s="540"/>
      <c r="AN78" s="535"/>
    </row>
    <row r="79" spans="1:42" s="536" customFormat="1" ht="12.75" customHeight="1">
      <c r="A79" s="538"/>
      <c r="B79" s="540"/>
      <c r="C79" s="540"/>
      <c r="E79" s="2610"/>
      <c r="F79" s="2611"/>
      <c r="G79" s="2611"/>
      <c r="H79" s="2611"/>
      <c r="I79" s="2611"/>
      <c r="J79" s="2611"/>
      <c r="K79" s="2611"/>
      <c r="L79" s="2611"/>
      <c r="M79" s="2611"/>
      <c r="N79" s="2611"/>
      <c r="O79" s="2611"/>
      <c r="P79" s="2611"/>
      <c r="Q79" s="2611"/>
      <c r="R79" s="2611"/>
      <c r="S79" s="2611"/>
      <c r="T79" s="2611"/>
      <c r="U79" s="2611"/>
      <c r="V79" s="2611"/>
      <c r="W79" s="2611"/>
      <c r="X79" s="2611"/>
      <c r="Y79" s="2611"/>
      <c r="Z79" s="2611"/>
      <c r="AA79" s="2611"/>
      <c r="AB79" s="2611"/>
      <c r="AC79" s="2611"/>
      <c r="AD79" s="2611"/>
      <c r="AE79" s="2611"/>
      <c r="AF79" s="2611"/>
      <c r="AG79" s="2611"/>
      <c r="AH79" s="2611"/>
      <c r="AI79" s="2611"/>
      <c r="AJ79" s="26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3" t="s">
        <v>591</v>
      </c>
      <c r="C81" s="2593"/>
      <c r="D81" s="546" t="s">
        <v>1461</v>
      </c>
      <c r="E81" s="2619" t="s">
        <v>1726</v>
      </c>
      <c r="F81" s="2620"/>
      <c r="G81" s="2620"/>
      <c r="H81" s="2620"/>
      <c r="I81" s="2620"/>
      <c r="J81" s="2620"/>
      <c r="K81" s="2620"/>
      <c r="L81" s="2620"/>
      <c r="M81" s="2620"/>
      <c r="N81" s="2620"/>
      <c r="O81" s="2620"/>
      <c r="P81" s="2620"/>
      <c r="Q81" s="2620"/>
      <c r="R81" s="2620"/>
      <c r="S81" s="2620"/>
      <c r="T81" s="2620"/>
      <c r="U81" s="2620"/>
      <c r="V81" s="2620"/>
      <c r="W81" s="2620"/>
      <c r="X81" s="2620"/>
      <c r="Y81" s="2620"/>
      <c r="Z81" s="2620"/>
      <c r="AA81" s="2620"/>
      <c r="AB81" s="2620"/>
      <c r="AC81" s="2620"/>
      <c r="AD81" s="2620"/>
      <c r="AE81" s="2620"/>
      <c r="AF81" s="2620"/>
      <c r="AG81" s="2620"/>
      <c r="AH81" s="2620"/>
      <c r="AI81" s="2620"/>
      <c r="AJ81" s="262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5">
        <f>IF(AK61&gt;0,0,AO71)</f>
        <v>0</v>
      </c>
      <c r="AL83" s="2586"/>
      <c r="AM83" s="258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1" t="s">
        <v>1303</v>
      </c>
      <c r="AF86" s="2451"/>
      <c r="AG86" s="2451"/>
      <c r="AH86" s="2451"/>
      <c r="AI86" s="2451"/>
      <c r="AJ86" s="2451"/>
      <c r="AK86" s="2451"/>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3" t="s">
        <v>591</v>
      </c>
      <c r="C89" s="2593"/>
      <c r="D89" s="546" t="s">
        <v>1309</v>
      </c>
      <c r="E89" s="2594" t="s">
        <v>1319</v>
      </c>
      <c r="F89" s="2595"/>
      <c r="G89" s="2595"/>
      <c r="H89" s="2595"/>
      <c r="I89" s="2595"/>
      <c r="J89" s="2595"/>
      <c r="K89" s="2595"/>
      <c r="L89" s="2595"/>
      <c r="M89" s="2595"/>
      <c r="N89" s="2595"/>
      <c r="O89" s="2595"/>
      <c r="P89" s="2595"/>
      <c r="Q89" s="2595"/>
      <c r="R89" s="2595"/>
      <c r="S89" s="2595"/>
      <c r="T89" s="2595"/>
      <c r="U89" s="2595"/>
      <c r="V89" s="2595"/>
      <c r="W89" s="2595"/>
      <c r="X89" s="2595"/>
      <c r="Y89" s="2595"/>
      <c r="Z89" s="2595"/>
      <c r="AA89" s="2595"/>
      <c r="AB89" s="2595"/>
      <c r="AC89" s="2595"/>
      <c r="AD89" s="2595"/>
      <c r="AE89" s="2595"/>
      <c r="AF89" s="2595"/>
      <c r="AG89" s="2595"/>
      <c r="AH89" s="2595"/>
      <c r="AI89" s="2595"/>
      <c r="AJ89" s="2596"/>
      <c r="AK89" s="543"/>
      <c r="AL89" s="540"/>
      <c r="AM89" s="540"/>
      <c r="AN89" s="535"/>
    </row>
    <row r="90" spans="1:43" s="536" customFormat="1" ht="12.75" customHeight="1">
      <c r="A90" s="538"/>
      <c r="B90" s="539"/>
      <c r="C90" s="539"/>
      <c r="D90" s="539"/>
      <c r="E90" s="2597"/>
      <c r="F90" s="2598"/>
      <c r="G90" s="2598"/>
      <c r="H90" s="2598"/>
      <c r="I90" s="2598"/>
      <c r="J90" s="2598"/>
      <c r="K90" s="2598"/>
      <c r="L90" s="2598"/>
      <c r="M90" s="2598"/>
      <c r="N90" s="2598"/>
      <c r="O90" s="2598"/>
      <c r="P90" s="2598"/>
      <c r="Q90" s="2598"/>
      <c r="R90" s="2598"/>
      <c r="S90" s="2598"/>
      <c r="T90" s="2598"/>
      <c r="U90" s="2598"/>
      <c r="V90" s="2598"/>
      <c r="W90" s="2598"/>
      <c r="X90" s="2598"/>
      <c r="Y90" s="2598"/>
      <c r="Z90" s="2598"/>
      <c r="AA90" s="2598"/>
      <c r="AB90" s="2598"/>
      <c r="AC90" s="2598"/>
      <c r="AD90" s="2598"/>
      <c r="AE90" s="2598"/>
      <c r="AF90" s="2598"/>
      <c r="AG90" s="2598"/>
      <c r="AH90" s="2598"/>
      <c r="AI90" s="2598"/>
      <c r="AJ90" s="259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6">
        <f>Application!AC761</f>
        <v>0.5586363636363636</v>
      </c>
      <c r="F92" s="2607"/>
      <c r="G92" s="2607"/>
      <c r="H92" s="2607"/>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8">
        <f>0.6-ROUNDUP(E92,2)</f>
        <v>3.9999999999999925E-2</v>
      </c>
      <c r="F93" s="2425"/>
      <c r="G93" s="2425"/>
      <c r="H93" s="2425"/>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7">
        <f>IF(E93*200&gt;20,20,E93*200)</f>
        <v>7.9999999999999849</v>
      </c>
      <c r="F94" s="2618"/>
      <c r="G94" s="2618"/>
      <c r="H94" s="2618"/>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3" t="s">
        <v>545</v>
      </c>
      <c r="C97" s="2593"/>
      <c r="D97" s="546" t="s">
        <v>1311</v>
      </c>
      <c r="E97" s="2594" t="s">
        <v>1714</v>
      </c>
      <c r="F97" s="2595"/>
      <c r="G97" s="2595"/>
      <c r="H97" s="2595"/>
      <c r="I97" s="2595"/>
      <c r="J97" s="2595"/>
      <c r="K97" s="2595"/>
      <c r="L97" s="2595"/>
      <c r="M97" s="2595"/>
      <c r="N97" s="2595"/>
      <c r="O97" s="2595"/>
      <c r="P97" s="2595"/>
      <c r="Q97" s="2595"/>
      <c r="R97" s="2595"/>
      <c r="S97" s="2595"/>
      <c r="T97" s="2595"/>
      <c r="U97" s="2595"/>
      <c r="V97" s="2595"/>
      <c r="W97" s="2595"/>
      <c r="X97" s="2595"/>
      <c r="Y97" s="2595"/>
      <c r="Z97" s="2595"/>
      <c r="AA97" s="2595"/>
      <c r="AB97" s="2595"/>
      <c r="AC97" s="2595"/>
      <c r="AD97" s="2595"/>
      <c r="AE97" s="2595"/>
      <c r="AF97" s="2595"/>
      <c r="AG97" s="2595"/>
      <c r="AH97" s="2595"/>
      <c r="AI97" s="2595"/>
      <c r="AJ97" s="2596"/>
      <c r="AK97" s="543"/>
      <c r="AL97" s="540"/>
      <c r="AM97" s="540"/>
      <c r="AN97" s="535"/>
    </row>
    <row r="98" spans="1:47" s="536" customFormat="1" ht="12.75" customHeight="1">
      <c r="A98" s="538"/>
      <c r="B98" s="539"/>
      <c r="C98" s="539"/>
      <c r="D98" s="539"/>
      <c r="E98" s="2597"/>
      <c r="F98" s="2598"/>
      <c r="G98" s="2598"/>
      <c r="H98" s="2598"/>
      <c r="I98" s="2598"/>
      <c r="J98" s="2598"/>
      <c r="K98" s="2598"/>
      <c r="L98" s="2598"/>
      <c r="M98" s="2598"/>
      <c r="N98" s="2598"/>
      <c r="O98" s="2598"/>
      <c r="P98" s="2598"/>
      <c r="Q98" s="2598"/>
      <c r="R98" s="2598"/>
      <c r="S98" s="2598"/>
      <c r="T98" s="2598"/>
      <c r="U98" s="2598"/>
      <c r="V98" s="2598"/>
      <c r="W98" s="2598"/>
      <c r="X98" s="2598"/>
      <c r="Y98" s="2598"/>
      <c r="Z98" s="2598"/>
      <c r="AA98" s="2598"/>
      <c r="AB98" s="2598"/>
      <c r="AC98" s="2598"/>
      <c r="AD98" s="2598"/>
      <c r="AE98" s="2598"/>
      <c r="AF98" s="2598"/>
      <c r="AG98" s="2598"/>
      <c r="AH98" s="2598"/>
      <c r="AI98" s="2598"/>
      <c r="AJ98" s="2599"/>
      <c r="AK98" s="543"/>
      <c r="AL98" s="540"/>
      <c r="AM98" s="540"/>
      <c r="AN98" s="535"/>
    </row>
    <row r="99" spans="1:47" s="536" customFormat="1" ht="12.75" customHeight="1">
      <c r="A99" s="538"/>
      <c r="B99" s="539"/>
      <c r="C99" s="539"/>
      <c r="D99" s="539"/>
      <c r="E99" s="2597"/>
      <c r="F99" s="2598"/>
      <c r="G99" s="2598"/>
      <c r="H99" s="2598"/>
      <c r="I99" s="2598"/>
      <c r="J99" s="2598"/>
      <c r="K99" s="2598"/>
      <c r="L99" s="2598"/>
      <c r="M99" s="2598"/>
      <c r="N99" s="2598"/>
      <c r="O99" s="2598"/>
      <c r="P99" s="2598"/>
      <c r="Q99" s="2598"/>
      <c r="R99" s="2598"/>
      <c r="S99" s="2598"/>
      <c r="T99" s="2598"/>
      <c r="U99" s="2598"/>
      <c r="V99" s="2598"/>
      <c r="W99" s="2598"/>
      <c r="X99" s="2598"/>
      <c r="Y99" s="2598"/>
      <c r="Z99" s="2598"/>
      <c r="AA99" s="2598"/>
      <c r="AB99" s="2598"/>
      <c r="AC99" s="2598"/>
      <c r="AD99" s="2598"/>
      <c r="AE99" s="2598"/>
      <c r="AF99" s="2598"/>
      <c r="AG99" s="2598"/>
      <c r="AH99" s="2598"/>
      <c r="AI99" s="2598"/>
      <c r="AJ99" s="2599"/>
      <c r="AK99" s="543"/>
      <c r="AL99" s="540"/>
      <c r="AM99" s="540"/>
      <c r="AN99" s="535"/>
    </row>
    <row r="100" spans="1:47" s="536" customFormat="1" ht="12.75" customHeight="1">
      <c r="A100" s="538"/>
      <c r="B100" s="539"/>
      <c r="C100" s="539"/>
      <c r="D100" s="539"/>
      <c r="E100" s="2597"/>
      <c r="F100" s="2598"/>
      <c r="G100" s="2598"/>
      <c r="H100" s="2598"/>
      <c r="I100" s="2598"/>
      <c r="J100" s="2598"/>
      <c r="K100" s="2598"/>
      <c r="L100" s="2598"/>
      <c r="M100" s="2598"/>
      <c r="N100" s="2598"/>
      <c r="O100" s="2598"/>
      <c r="P100" s="2598"/>
      <c r="Q100" s="2598"/>
      <c r="R100" s="2598"/>
      <c r="S100" s="2598"/>
      <c r="T100" s="2598"/>
      <c r="U100" s="2598"/>
      <c r="V100" s="2598"/>
      <c r="W100" s="2598"/>
      <c r="X100" s="2598"/>
      <c r="Y100" s="2598"/>
      <c r="Z100" s="2598"/>
      <c r="AA100" s="2598"/>
      <c r="AB100" s="2598"/>
      <c r="AC100" s="2598"/>
      <c r="AD100" s="2598"/>
      <c r="AE100" s="2598"/>
      <c r="AF100" s="2598"/>
      <c r="AG100" s="2598"/>
      <c r="AH100" s="2598"/>
      <c r="AI100" s="2598"/>
      <c r="AJ100" s="259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6">
        <f>Application!AC761</f>
        <v>0.5586363636363636</v>
      </c>
      <c r="F102" s="2607"/>
      <c r="G102" s="2607"/>
      <c r="H102" s="2607"/>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6">
        <f ca="1">SUMIF(Application!AC726:AG760,0.2,Application!G726:J760)/Application!G761+SUMIF(Application!AC726:AG760,0.25,Application!G726:J760)/Application!G761+SUMIF(Application!AC726:AG760,0.3,Application!G726:J760)/Application!G761</f>
        <v>0.10454545454545454</v>
      </c>
      <c r="F103" s="2607"/>
      <c r="G103" s="2607"/>
      <c r="H103" s="2607"/>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6">
        <f ca="1">SUMIF(Application!AC726:AG760,0.35,Application!G726:J760)/Application!G761+SUMIF(Application!AC726:AG760,0.4,Application!G726:J760)/Application!G761+SUMIF(Application!AC726:AG760,0.45,Application!G726:J760)/Application!G761+SUMIF(Application!AC726:AG760,0.5,Application!G726:J760)/Application!G761</f>
        <v>0.1</v>
      </c>
      <c r="F104" s="2607"/>
      <c r="G104" s="2607"/>
      <c r="H104" s="2607"/>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4">
        <f ca="1">IF(AND(E102&lt;=0.6,OR(AND(E103&gt;=0.1,E104&gt;=0.1),AND(E103&gt;0.1,(E103+E104)&gt;=0.2))),20,0)</f>
        <v>20</v>
      </c>
      <c r="F105" s="2605"/>
      <c r="G105" s="2605"/>
      <c r="H105" s="2605"/>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5">
        <f ca="1">MAX(AP94,AP105)</f>
        <v>20</v>
      </c>
      <c r="AL108" s="2586"/>
      <c r="AM108" s="258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1" t="s">
        <v>1308</v>
      </c>
      <c r="AF111" s="2451"/>
      <c r="AG111" s="2451"/>
      <c r="AH111" s="2451"/>
      <c r="AI111" s="2451"/>
      <c r="AJ111" s="2451"/>
      <c r="AK111" s="2451"/>
      <c r="AL111" s="540"/>
      <c r="AM111" s="540"/>
      <c r="AN111" s="535"/>
      <c r="AO111" s="536" t="str">
        <f>Application!B726</f>
        <v>1 Bedroom</v>
      </c>
      <c r="AQ111" s="536">
        <f>Application!O726</f>
        <v>648</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1131</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1372</v>
      </c>
    </row>
    <row r="114" spans="1:52" s="536" customFormat="1" ht="12.75" customHeight="1">
      <c r="A114" s="540"/>
      <c r="B114" s="2593" t="s">
        <v>545</v>
      </c>
      <c r="C114" s="2593"/>
      <c r="D114" s="546" t="s">
        <v>1309</v>
      </c>
      <c r="E114" s="2594" t="s">
        <v>2562</v>
      </c>
      <c r="F114" s="2595"/>
      <c r="G114" s="2595"/>
      <c r="H114" s="2595"/>
      <c r="I114" s="2595"/>
      <c r="J114" s="2595"/>
      <c r="K114" s="2595"/>
      <c r="L114" s="2595"/>
      <c r="M114" s="2595"/>
      <c r="N114" s="2595"/>
      <c r="O114" s="2595"/>
      <c r="P114" s="2595"/>
      <c r="Q114" s="2595"/>
      <c r="R114" s="2595"/>
      <c r="S114" s="2595"/>
      <c r="T114" s="2595"/>
      <c r="U114" s="2595"/>
      <c r="V114" s="2595"/>
      <c r="W114" s="2595"/>
      <c r="X114" s="2595"/>
      <c r="Y114" s="2595"/>
      <c r="Z114" s="2595"/>
      <c r="AA114" s="2595"/>
      <c r="AB114" s="2595"/>
      <c r="AC114" s="2595"/>
      <c r="AD114" s="2595"/>
      <c r="AE114" s="2595"/>
      <c r="AF114" s="2595"/>
      <c r="AG114" s="2595"/>
      <c r="AH114" s="2595"/>
      <c r="AI114" s="2595"/>
      <c r="AJ114" s="2596"/>
      <c r="AK114" s="540"/>
      <c r="AL114" s="540"/>
      <c r="AM114" s="540"/>
      <c r="AN114" s="535"/>
      <c r="AO114" s="536" t="str">
        <f>Application!B729</f>
        <v>2 Bedrooms</v>
      </c>
      <c r="AQ114" s="536">
        <f>Application!O729</f>
        <v>772</v>
      </c>
      <c r="AU114" s="536" t="s">
        <v>1816</v>
      </c>
      <c r="AV114" s="593" t="s">
        <v>1817</v>
      </c>
      <c r="AW114" s="536" t="s">
        <v>1818</v>
      </c>
    </row>
    <row r="115" spans="1:52" s="536" customFormat="1" ht="12.75" customHeight="1">
      <c r="A115" s="540"/>
      <c r="B115" s="539"/>
      <c r="C115" s="539"/>
      <c r="D115" s="539"/>
      <c r="E115" s="2597"/>
      <c r="F115" s="2598"/>
      <c r="G115" s="2598"/>
      <c r="H115" s="2598"/>
      <c r="I115" s="2598"/>
      <c r="J115" s="2598"/>
      <c r="K115" s="2598"/>
      <c r="L115" s="2598"/>
      <c r="M115" s="2598"/>
      <c r="N115" s="2598"/>
      <c r="O115" s="2598"/>
      <c r="P115" s="2598"/>
      <c r="Q115" s="2598"/>
      <c r="R115" s="2598"/>
      <c r="S115" s="2598"/>
      <c r="T115" s="2598"/>
      <c r="U115" s="2598"/>
      <c r="V115" s="2598"/>
      <c r="W115" s="2598"/>
      <c r="X115" s="2598"/>
      <c r="Y115" s="2598"/>
      <c r="Z115" s="2598"/>
      <c r="AA115" s="2598"/>
      <c r="AB115" s="2598"/>
      <c r="AC115" s="2598"/>
      <c r="AD115" s="2598"/>
      <c r="AE115" s="2598"/>
      <c r="AF115" s="2598"/>
      <c r="AG115" s="2598"/>
      <c r="AH115" s="2598"/>
      <c r="AI115" s="2598"/>
      <c r="AJ115" s="2599"/>
      <c r="AK115" s="540"/>
      <c r="AL115" s="540"/>
      <c r="AM115" s="540"/>
      <c r="AN115" s="535"/>
      <c r="AO115" s="536" t="str">
        <f>Application!B730</f>
        <v>2 Bedrooms</v>
      </c>
      <c r="AQ115" s="536">
        <f>Application!O730</f>
        <v>1351</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7"/>
      <c r="F116" s="2598"/>
      <c r="G116" s="2598"/>
      <c r="H116" s="2598"/>
      <c r="I116" s="2598"/>
      <c r="J116" s="2598"/>
      <c r="K116" s="2598"/>
      <c r="L116" s="2598"/>
      <c r="M116" s="2598"/>
      <c r="N116" s="2598"/>
      <c r="O116" s="2598"/>
      <c r="P116" s="2598"/>
      <c r="Q116" s="2598"/>
      <c r="R116" s="2598"/>
      <c r="S116" s="2598"/>
      <c r="T116" s="2598"/>
      <c r="U116" s="2598"/>
      <c r="V116" s="2598"/>
      <c r="W116" s="2598"/>
      <c r="X116" s="2598"/>
      <c r="Y116" s="2598"/>
      <c r="Z116" s="2598"/>
      <c r="AA116" s="2598"/>
      <c r="AB116" s="2598"/>
      <c r="AC116" s="2598"/>
      <c r="AD116" s="2598"/>
      <c r="AE116" s="2598"/>
      <c r="AF116" s="2598"/>
      <c r="AG116" s="2598"/>
      <c r="AH116" s="2598"/>
      <c r="AI116" s="2598"/>
      <c r="AJ116" s="2599"/>
      <c r="AK116" s="540"/>
      <c r="AL116" s="540"/>
      <c r="AM116" s="540"/>
      <c r="AN116" s="535"/>
      <c r="AO116" s="536" t="str">
        <f>Application!B731</f>
        <v>2 Bedrooms</v>
      </c>
      <c r="AQ116" s="536">
        <f>Application!O731</f>
        <v>1641</v>
      </c>
      <c r="AU116" s="852" t="str">
        <f>J123</f>
        <v>1-bedroom</v>
      </c>
      <c r="AV116" s="536">
        <f t="array" ref="AV116">SUM(IF(Application!B726:F760="1 Bedroom",Application!G726:J760))</f>
        <v>144</v>
      </c>
      <c r="AW116" s="1006">
        <f>AV116/AV121</f>
        <v>0.65454545454545454</v>
      </c>
    </row>
    <row r="117" spans="1:52" s="536" customFormat="1" ht="12.75" customHeight="1">
      <c r="A117" s="540"/>
      <c r="B117" s="539"/>
      <c r="C117" s="539"/>
      <c r="D117" s="539"/>
      <c r="E117" s="2597"/>
      <c r="F117" s="2598"/>
      <c r="G117" s="2598"/>
      <c r="H117" s="2598"/>
      <c r="I117" s="2598"/>
      <c r="J117" s="2598"/>
      <c r="K117" s="2598"/>
      <c r="L117" s="2598"/>
      <c r="M117" s="2598"/>
      <c r="N117" s="2598"/>
      <c r="O117" s="2598"/>
      <c r="P117" s="2598"/>
      <c r="Q117" s="2598"/>
      <c r="R117" s="2598"/>
      <c r="S117" s="2598"/>
      <c r="T117" s="2598"/>
      <c r="U117" s="2598"/>
      <c r="V117" s="2598"/>
      <c r="W117" s="2598"/>
      <c r="X117" s="2598"/>
      <c r="Y117" s="2598"/>
      <c r="Z117" s="2598"/>
      <c r="AA117" s="2598"/>
      <c r="AB117" s="2598"/>
      <c r="AC117" s="2598"/>
      <c r="AD117" s="2598"/>
      <c r="AE117" s="2598"/>
      <c r="AF117" s="2598"/>
      <c r="AG117" s="2598"/>
      <c r="AH117" s="2598"/>
      <c r="AI117" s="2598"/>
      <c r="AJ117" s="2599"/>
      <c r="AK117" s="540"/>
      <c r="AL117" s="540"/>
      <c r="AM117" s="540"/>
      <c r="AN117" s="535"/>
      <c r="AO117" s="536">
        <f>Application!B732</f>
        <v>0</v>
      </c>
      <c r="AQ117" s="536">
        <f>Application!O732</f>
        <v>0</v>
      </c>
      <c r="AU117" s="852" t="str">
        <f>O123</f>
        <v>2-bedroom</v>
      </c>
      <c r="AV117" s="536">
        <f t="array" ref="AV117">SUM(IF(Application!B726:F760="2 Bedrooms",Application!G726:J760))</f>
        <v>76</v>
      </c>
      <c r="AW117" s="1006">
        <f>AV117/AV121</f>
        <v>0.34545454545454546</v>
      </c>
    </row>
    <row r="118" spans="1:52" s="536" customFormat="1" ht="12.75" customHeight="1">
      <c r="A118" s="540"/>
      <c r="B118" s="539"/>
      <c r="C118" s="539"/>
      <c r="D118" s="539"/>
      <c r="E118" s="2597"/>
      <c r="F118" s="2598"/>
      <c r="G118" s="2598"/>
      <c r="H118" s="2598"/>
      <c r="I118" s="2598"/>
      <c r="J118" s="2598"/>
      <c r="K118" s="2598"/>
      <c r="L118" s="2598"/>
      <c r="M118" s="2598"/>
      <c r="N118" s="2598"/>
      <c r="O118" s="2598"/>
      <c r="P118" s="2598"/>
      <c r="Q118" s="2598"/>
      <c r="R118" s="2598"/>
      <c r="S118" s="2598"/>
      <c r="T118" s="2598"/>
      <c r="U118" s="2598"/>
      <c r="V118" s="2598"/>
      <c r="W118" s="2598"/>
      <c r="X118" s="2598"/>
      <c r="Y118" s="2598"/>
      <c r="Z118" s="2598"/>
      <c r="AA118" s="2598"/>
      <c r="AB118" s="2598"/>
      <c r="AC118" s="2598"/>
      <c r="AD118" s="2598"/>
      <c r="AE118" s="2598"/>
      <c r="AF118" s="2598"/>
      <c r="AG118" s="2598"/>
      <c r="AH118" s="2598"/>
      <c r="AI118" s="2598"/>
      <c r="AJ118" s="2599"/>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7"/>
      <c r="F119" s="2598"/>
      <c r="G119" s="2598"/>
      <c r="H119" s="2598"/>
      <c r="I119" s="2598"/>
      <c r="J119" s="2598"/>
      <c r="K119" s="2598"/>
      <c r="L119" s="2598"/>
      <c r="M119" s="2598"/>
      <c r="N119" s="2598"/>
      <c r="O119" s="2598"/>
      <c r="P119" s="2598"/>
      <c r="Q119" s="2598"/>
      <c r="R119" s="2598"/>
      <c r="S119" s="2598"/>
      <c r="T119" s="2598"/>
      <c r="U119" s="2598"/>
      <c r="V119" s="2598"/>
      <c r="W119" s="2598"/>
      <c r="X119" s="2598"/>
      <c r="Y119" s="2598"/>
      <c r="Z119" s="2598"/>
      <c r="AA119" s="2598"/>
      <c r="AB119" s="2598"/>
      <c r="AC119" s="2598"/>
      <c r="AD119" s="2598"/>
      <c r="AE119" s="2598"/>
      <c r="AF119" s="2598"/>
      <c r="AG119" s="2598"/>
      <c r="AH119" s="2598"/>
      <c r="AI119" s="2598"/>
      <c r="AJ119" s="2599"/>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7"/>
      <c r="F120" s="2598"/>
      <c r="G120" s="2598"/>
      <c r="H120" s="2598"/>
      <c r="I120" s="2598"/>
      <c r="J120" s="2598"/>
      <c r="K120" s="2598"/>
      <c r="L120" s="2598"/>
      <c r="M120" s="2598"/>
      <c r="N120" s="2598"/>
      <c r="O120" s="2598"/>
      <c r="P120" s="2598"/>
      <c r="Q120" s="2598"/>
      <c r="R120" s="2598"/>
      <c r="S120" s="2598"/>
      <c r="T120" s="2598"/>
      <c r="U120" s="2598"/>
      <c r="V120" s="2598"/>
      <c r="W120" s="2598"/>
      <c r="X120" s="2598"/>
      <c r="Y120" s="2598"/>
      <c r="Z120" s="2598"/>
      <c r="AA120" s="2598"/>
      <c r="AB120" s="2598"/>
      <c r="AC120" s="2598"/>
      <c r="AD120" s="2598"/>
      <c r="AE120" s="2598"/>
      <c r="AF120" s="2598"/>
      <c r="AG120" s="2598"/>
      <c r="AH120" s="2598"/>
      <c r="AI120" s="2598"/>
      <c r="AJ120" s="2599"/>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7"/>
      <c r="F121" s="2598"/>
      <c r="G121" s="2598"/>
      <c r="H121" s="2598"/>
      <c r="I121" s="2598"/>
      <c r="J121" s="2598"/>
      <c r="K121" s="2598"/>
      <c r="L121" s="2598"/>
      <c r="M121" s="2598"/>
      <c r="N121" s="2598"/>
      <c r="O121" s="2598"/>
      <c r="P121" s="2598"/>
      <c r="Q121" s="2598"/>
      <c r="R121" s="2598"/>
      <c r="S121" s="2598"/>
      <c r="T121" s="2598"/>
      <c r="U121" s="2598"/>
      <c r="V121" s="2598"/>
      <c r="W121" s="2598"/>
      <c r="X121" s="2598"/>
      <c r="Y121" s="2598"/>
      <c r="Z121" s="2598"/>
      <c r="AA121" s="2598"/>
      <c r="AB121" s="2598"/>
      <c r="AC121" s="2598"/>
      <c r="AD121" s="2598"/>
      <c r="AE121" s="2598"/>
      <c r="AF121" s="2598"/>
      <c r="AG121" s="2598"/>
      <c r="AH121" s="2598"/>
      <c r="AI121" s="2598"/>
      <c r="AJ121" s="2599"/>
      <c r="AK121" s="540"/>
      <c r="AL121" s="540"/>
      <c r="AM121" s="540"/>
      <c r="AN121" s="535"/>
      <c r="AO121" s="536">
        <f>Application!B736</f>
        <v>0</v>
      </c>
      <c r="AQ121" s="536">
        <f>Application!O736</f>
        <v>0</v>
      </c>
      <c r="AV121" s="536">
        <f>SUM(AV115:AV120)</f>
        <v>220</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6" t="s">
        <v>1577</v>
      </c>
      <c r="F123" s="2607"/>
      <c r="G123" s="2607"/>
      <c r="H123" s="2607"/>
      <c r="I123" s="575"/>
      <c r="J123" s="2607" t="s">
        <v>1620</v>
      </c>
      <c r="K123" s="2607"/>
      <c r="L123" s="2607"/>
      <c r="M123" s="2607"/>
      <c r="N123" s="575"/>
      <c r="O123" s="2607" t="s">
        <v>1621</v>
      </c>
      <c r="P123" s="2607"/>
      <c r="Q123" s="2607"/>
      <c r="R123" s="2607"/>
      <c r="S123" s="575"/>
      <c r="T123" s="2607" t="s">
        <v>1328</v>
      </c>
      <c r="U123" s="2607"/>
      <c r="V123" s="2607"/>
      <c r="W123" s="2607"/>
      <c r="X123" s="575"/>
      <c r="Y123" s="2607" t="s">
        <v>1622</v>
      </c>
      <c r="Z123" s="2607"/>
      <c r="AA123" s="2607"/>
      <c r="AB123" s="2607"/>
      <c r="AC123" s="575"/>
      <c r="AD123" s="2607" t="s">
        <v>1623</v>
      </c>
      <c r="AE123" s="2607"/>
      <c r="AF123" s="2607"/>
      <c r="AG123" s="2607"/>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8"/>
      <c r="F126" s="2609"/>
      <c r="G126" s="2609"/>
      <c r="H126" s="2609"/>
      <c r="I126" s="860"/>
      <c r="J126" s="2609">
        <v>1970</v>
      </c>
      <c r="K126" s="2609"/>
      <c r="L126" s="2609"/>
      <c r="M126" s="2609"/>
      <c r="N126" s="860"/>
      <c r="O126" s="2609">
        <v>2216</v>
      </c>
      <c r="P126" s="2609"/>
      <c r="Q126" s="2609"/>
      <c r="R126" s="2609"/>
      <c r="S126" s="860"/>
      <c r="T126" s="2609"/>
      <c r="U126" s="2609"/>
      <c r="V126" s="2609"/>
      <c r="W126" s="2609"/>
      <c r="X126" s="860"/>
      <c r="Y126" s="2609"/>
      <c r="Z126" s="2609"/>
      <c r="AA126" s="2609"/>
      <c r="AB126" s="2609"/>
      <c r="AC126" s="860"/>
      <c r="AD126" s="2609"/>
      <c r="AE126" s="2609"/>
      <c r="AF126" s="2609"/>
      <c r="AG126" s="260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2">
        <f>Application!DX678</f>
        <v>0</v>
      </c>
      <c r="F129" s="2616"/>
      <c r="G129" s="2616"/>
      <c r="H129" s="2616"/>
      <c r="I129" s="860"/>
      <c r="J129" s="2616">
        <f>Application!EC678</f>
        <v>1288.2152777777778</v>
      </c>
      <c r="K129" s="2616"/>
      <c r="L129" s="2616"/>
      <c r="M129" s="2616"/>
      <c r="N129" s="860"/>
      <c r="O129" s="2616">
        <f>Application!EH678</f>
        <v>1484.6578947368421</v>
      </c>
      <c r="P129" s="2616"/>
      <c r="Q129" s="2616"/>
      <c r="R129" s="2616"/>
      <c r="S129" s="864"/>
      <c r="T129" s="2616">
        <f>Application!EM678</f>
        <v>0</v>
      </c>
      <c r="U129" s="2616"/>
      <c r="V129" s="2616"/>
      <c r="W129" s="2616"/>
      <c r="X129" s="864"/>
      <c r="Y129" s="2616">
        <f>Application!ER678</f>
        <v>0</v>
      </c>
      <c r="Z129" s="2616"/>
      <c r="AA129" s="2616"/>
      <c r="AB129" s="2616"/>
      <c r="AC129" s="864"/>
      <c r="AD129" s="2616">
        <f>Application!EW678</f>
        <v>0</v>
      </c>
      <c r="AE129" s="2616"/>
      <c r="AF129" s="2616"/>
      <c r="AG129" s="261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4" t="e">
        <f>(E126-E129)/E126</f>
        <v>#DIV/0!</v>
      </c>
      <c r="F132" s="2425"/>
      <c r="G132" s="2425"/>
      <c r="H132" s="2426"/>
      <c r="I132" s="575"/>
      <c r="J132" s="2424">
        <f>(J126-J129)/J126</f>
        <v>0.34608361534122956</v>
      </c>
      <c r="K132" s="2425"/>
      <c r="L132" s="2425"/>
      <c r="M132" s="2426"/>
      <c r="N132" s="575"/>
      <c r="O132" s="2424">
        <f>(O126-O129)/O126</f>
        <v>0.33002802584077523</v>
      </c>
      <c r="P132" s="2425"/>
      <c r="Q132" s="2425"/>
      <c r="R132" s="2426"/>
      <c r="S132" s="575"/>
      <c r="T132" s="2424" t="e">
        <f>(T126-T129)/T126</f>
        <v>#DIV/0!</v>
      </c>
      <c r="U132" s="2425"/>
      <c r="V132" s="2425"/>
      <c r="W132" s="2426"/>
      <c r="X132" s="575"/>
      <c r="Y132" s="2424" t="e">
        <f>(Y126-Y129)/Y126</f>
        <v>#DIV/0!</v>
      </c>
      <c r="Z132" s="2425"/>
      <c r="AA132" s="2425"/>
      <c r="AB132" s="2426"/>
      <c r="AC132" s="575"/>
      <c r="AD132" s="2424" t="e">
        <f>(AD126-AD129)/AD126</f>
        <v>#DIV/0!</v>
      </c>
      <c r="AE132" s="2425"/>
      <c r="AF132" s="2425"/>
      <c r="AG132" s="2426"/>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3" t="e">
        <f>IF(((E132-0.1)*AW115)&gt;0,((E132-0.1)*AW115),0)</f>
        <v>#DIV/0!</v>
      </c>
      <c r="F135" s="2614"/>
      <c r="G135" s="2614"/>
      <c r="H135" s="2615"/>
      <c r="I135" s="575"/>
      <c r="J135" s="2613">
        <f>IF(((J132-0.1)*AW116)&gt;0,((J132-0.1)*AW116),0)</f>
        <v>0.1610729118597139</v>
      </c>
      <c r="K135" s="2614"/>
      <c r="L135" s="2614"/>
      <c r="M135" s="2615"/>
      <c r="N135" s="575"/>
      <c r="O135" s="2613">
        <f>IF(((O132-0.1)*AW117)&gt;0,((O132-0.1)*AW117),0)</f>
        <v>7.9464227108631436E-2</v>
      </c>
      <c r="P135" s="2614"/>
      <c r="Q135" s="2614"/>
      <c r="R135" s="2615"/>
      <c r="S135" s="575"/>
      <c r="T135" s="2613" t="e">
        <f>IF(((T132-0.1)*AW118)&gt;0,((T132-0.1)*AW118),0)</f>
        <v>#DIV/0!</v>
      </c>
      <c r="U135" s="2614"/>
      <c r="V135" s="2614"/>
      <c r="W135" s="2615"/>
      <c r="X135" s="575"/>
      <c r="Y135" s="2613" t="e">
        <f>IF(((Y132-0.1)*AW119)&gt;0,((Y132-0.1)*AW119),0)</f>
        <v>#DIV/0!</v>
      </c>
      <c r="Z135" s="2614"/>
      <c r="AA135" s="2614"/>
      <c r="AB135" s="2615"/>
      <c r="AC135" s="575"/>
      <c r="AD135" s="2613" t="e">
        <f>IF(((AD132-0.1)*AW120)&gt;0,((AD132-0.1)*AW120),0)</f>
        <v>#DIV/0!</v>
      </c>
      <c r="AE135" s="2614"/>
      <c r="AF135" s="2614"/>
      <c r="AG135" s="261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4">
        <f>ROUNDDOWN(SUMIF(E135:AG135,"&gt;0"),2)</f>
        <v>0.24</v>
      </c>
      <c r="F137" s="2425"/>
      <c r="G137" s="2425"/>
      <c r="H137" s="2426"/>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5">
        <f>IF((E137*100)&gt;10,10,E137*100)</f>
        <v>10</v>
      </c>
      <c r="F138" s="2586"/>
      <c r="G138" s="2586"/>
      <c r="H138" s="2587"/>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5">
        <f>E138</f>
        <v>10</v>
      </c>
      <c r="AL142" s="2586"/>
      <c r="AM142" s="258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51" t="s">
        <v>1308</v>
      </c>
      <c r="AF145" s="2451"/>
      <c r="AG145" s="2451"/>
      <c r="AH145" s="2451"/>
      <c r="AI145" s="2451"/>
      <c r="AJ145" s="2451"/>
      <c r="AK145" s="2451"/>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2" t="s">
        <v>1332</v>
      </c>
      <c r="AG147" s="2392"/>
      <c r="AH147" s="2392"/>
      <c r="AI147" s="2392"/>
      <c r="AJ147" s="2392"/>
      <c r="AK147" s="2392"/>
      <c r="AL147" s="2392"/>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9" t="s">
        <v>2765</v>
      </c>
      <c r="C149" s="2589"/>
      <c r="D149" s="2589"/>
      <c r="E149" s="2589"/>
      <c r="F149" s="2589"/>
      <c r="G149" s="2589"/>
      <c r="H149" s="2589"/>
      <c r="I149" s="2589"/>
      <c r="J149" s="2589"/>
      <c r="K149" s="2589"/>
      <c r="L149" s="2589"/>
      <c r="M149" s="2589"/>
      <c r="N149" s="2589"/>
      <c r="O149" s="2589"/>
      <c r="P149" s="2589"/>
      <c r="Q149" s="2589"/>
      <c r="R149" s="2589"/>
      <c r="S149" s="2589"/>
      <c r="T149" s="2589"/>
      <c r="U149" s="2589"/>
      <c r="V149" s="2589"/>
      <c r="W149" s="2589"/>
      <c r="X149" s="2589"/>
      <c r="Y149" s="2589"/>
      <c r="Z149" s="2589"/>
      <c r="AA149" s="2589"/>
      <c r="AB149" s="2589"/>
      <c r="AC149" s="258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90" t="s">
        <v>1335</v>
      </c>
      <c r="C152" s="2590"/>
      <c r="D152" s="2590"/>
      <c r="E152" s="2590"/>
      <c r="F152" s="2590"/>
      <c r="G152" s="2590"/>
      <c r="H152" s="2590"/>
      <c r="I152" s="2590"/>
      <c r="J152" s="2590"/>
      <c r="K152" s="2590"/>
      <c r="L152" s="2590"/>
      <c r="M152" s="2590"/>
      <c r="N152" s="2590"/>
      <c r="O152" s="2590"/>
      <c r="P152" s="2590"/>
      <c r="Q152" s="2590"/>
      <c r="R152" s="2590"/>
      <c r="S152" s="2590"/>
      <c r="T152" s="2590"/>
      <c r="U152" s="2590"/>
      <c r="V152" s="2590"/>
      <c r="W152" s="2590"/>
      <c r="X152" s="2590"/>
      <c r="Y152" s="2590"/>
      <c r="Z152" s="2590"/>
      <c r="AA152" s="2590"/>
      <c r="AB152" s="2590"/>
      <c r="AC152" s="2590"/>
      <c r="AD152" s="2590"/>
      <c r="AE152" s="2590"/>
      <c r="AF152" s="2590"/>
      <c r="AG152" s="2590"/>
      <c r="AH152" s="2590"/>
      <c r="AI152" s="2590"/>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399" t="s">
        <v>591</v>
      </c>
      <c r="AC154" s="239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90" t="s">
        <v>1337</v>
      </c>
      <c r="C157" s="2590"/>
      <c r="D157" s="2590"/>
      <c r="E157" s="2590"/>
      <c r="F157" s="2590"/>
      <c r="G157" s="2590"/>
      <c r="H157" s="2590"/>
      <c r="I157" s="2590"/>
      <c r="J157" s="2590"/>
      <c r="K157" s="2590"/>
      <c r="L157" s="2590"/>
      <c r="M157" s="2590"/>
      <c r="N157" s="2590"/>
      <c r="O157" s="2590"/>
      <c r="P157" s="2590"/>
      <c r="Q157" s="2590"/>
      <c r="R157" s="2590"/>
      <c r="S157" s="2590"/>
      <c r="T157" s="2590"/>
      <c r="U157" s="2590"/>
      <c r="V157" s="2590"/>
      <c r="W157" s="2590"/>
      <c r="X157" s="2590"/>
      <c r="Y157" s="2590"/>
      <c r="Z157" s="2590"/>
      <c r="AA157" s="2590"/>
      <c r="AB157" s="2590"/>
      <c r="AC157" s="2590"/>
      <c r="AD157" s="2590"/>
      <c r="AE157" s="2590"/>
      <c r="AF157" s="2590"/>
      <c r="AG157" s="2590"/>
      <c r="AH157" s="2590"/>
      <c r="AI157" s="2590"/>
      <c r="AJ157" s="2590"/>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6" t="s">
        <v>2405</v>
      </c>
      <c r="C160" s="2396"/>
      <c r="D160" s="2396"/>
      <c r="E160" s="2396"/>
      <c r="F160" s="2396"/>
      <c r="G160" s="2396"/>
      <c r="H160" s="2396"/>
      <c r="I160" s="2396"/>
      <c r="J160" s="2396"/>
      <c r="K160" s="2396"/>
      <c r="L160" s="2396"/>
      <c r="M160" s="2396"/>
      <c r="N160" s="2396"/>
      <c r="O160" s="2396"/>
      <c r="P160" s="2396"/>
      <c r="Q160" s="2396"/>
      <c r="R160" s="2396"/>
      <c r="S160" s="2396"/>
      <c r="T160" s="2396"/>
      <c r="U160" s="2396"/>
      <c r="V160" s="2396"/>
      <c r="W160" s="2396"/>
      <c r="X160" s="2396"/>
      <c r="Y160" s="2396"/>
      <c r="Z160" s="2396"/>
      <c r="AA160" s="2396"/>
      <c r="AB160" s="2396"/>
      <c r="AC160" s="2396"/>
      <c r="AD160" s="2396"/>
      <c r="AE160" s="2396"/>
      <c r="AF160" s="2396"/>
      <c r="AG160" s="2396"/>
      <c r="AH160" s="2396"/>
      <c r="AI160" s="2396"/>
      <c r="AJ160" s="2396"/>
      <c r="AK160" s="1173"/>
      <c r="AM160" s="539"/>
      <c r="AN160" s="535"/>
      <c r="AO160" s="476"/>
      <c r="AP160" s="489"/>
    </row>
    <row r="161" spans="1:42" s="536" customFormat="1" ht="12.75" customHeight="1">
      <c r="B161" s="2396"/>
      <c r="C161" s="2396"/>
      <c r="D161" s="2396"/>
      <c r="E161" s="2396"/>
      <c r="F161" s="2396"/>
      <c r="G161" s="2396"/>
      <c r="H161" s="2396"/>
      <c r="I161" s="2396"/>
      <c r="J161" s="2396"/>
      <c r="K161" s="2396"/>
      <c r="L161" s="2396"/>
      <c r="M161" s="2396"/>
      <c r="N161" s="2396"/>
      <c r="O161" s="2396"/>
      <c r="P161" s="2396"/>
      <c r="Q161" s="2396"/>
      <c r="R161" s="2396"/>
      <c r="S161" s="2396"/>
      <c r="T161" s="2396"/>
      <c r="U161" s="2396"/>
      <c r="V161" s="2396"/>
      <c r="W161" s="2396"/>
      <c r="X161" s="2396"/>
      <c r="Y161" s="2396"/>
      <c r="Z161" s="2396"/>
      <c r="AA161" s="2396"/>
      <c r="AB161" s="2396"/>
      <c r="AC161" s="2396"/>
      <c r="AD161" s="2396"/>
      <c r="AE161" s="2396"/>
      <c r="AF161" s="2396"/>
      <c r="AG161" s="2396"/>
      <c r="AH161" s="2396"/>
      <c r="AI161" s="2396"/>
      <c r="AJ161" s="2396"/>
      <c r="AK161" s="1173"/>
      <c r="AM161" s="539"/>
      <c r="AN161" s="535"/>
      <c r="AO161" s="476"/>
      <c r="AP161" s="489"/>
    </row>
    <row r="162" spans="1:42" s="536" customFormat="1" ht="12.75" customHeight="1">
      <c r="C162" s="2397" t="s">
        <v>2406</v>
      </c>
      <c r="D162" s="2397"/>
      <c r="E162" s="2397"/>
      <c r="F162" s="2397"/>
      <c r="G162" s="2397"/>
      <c r="H162" s="2397"/>
      <c r="I162" s="2397"/>
      <c r="J162" s="2397"/>
      <c r="K162" s="2397"/>
      <c r="L162" s="2397"/>
      <c r="M162" s="2397"/>
      <c r="N162" s="2397"/>
      <c r="O162" s="2397"/>
      <c r="P162" s="2397"/>
      <c r="Q162" s="2397"/>
      <c r="R162" s="2397"/>
      <c r="S162" s="2397"/>
      <c r="T162" s="2397"/>
      <c r="U162" s="2397"/>
      <c r="V162" s="2397"/>
      <c r="W162" s="2397"/>
      <c r="X162" s="2397"/>
      <c r="Y162" s="2397"/>
      <c r="Z162" s="2397"/>
      <c r="AA162" s="2397"/>
      <c r="AB162" s="2397"/>
      <c r="AC162" s="2397"/>
      <c r="AD162" s="2397"/>
      <c r="AE162" s="2397"/>
      <c r="AF162" s="2397"/>
      <c r="AG162" s="2397"/>
      <c r="AH162" s="2397"/>
      <c r="AI162" s="2397"/>
      <c r="AJ162" s="2397"/>
      <c r="AK162" s="1173"/>
      <c r="AM162" s="539"/>
      <c r="AN162" s="535"/>
      <c r="AO162" s="476"/>
      <c r="AP162" s="489"/>
    </row>
    <row r="163" spans="1:42" s="536" customFormat="1" ht="12.75" customHeight="1">
      <c r="B163" s="1173"/>
      <c r="C163" s="2398" t="s">
        <v>2404</v>
      </c>
      <c r="D163" s="2398"/>
      <c r="E163" s="2398"/>
      <c r="F163" s="2398"/>
      <c r="G163" s="2398"/>
      <c r="H163" s="2398"/>
      <c r="I163" s="2398"/>
      <c r="J163" s="2398"/>
      <c r="K163" s="2398"/>
      <c r="L163" s="2398"/>
      <c r="M163" s="2398"/>
      <c r="N163" s="2398"/>
      <c r="O163" s="2398"/>
      <c r="P163" s="2398"/>
      <c r="Q163" s="2398"/>
      <c r="R163" s="2398"/>
      <c r="S163" s="2398"/>
      <c r="T163" s="2398"/>
      <c r="U163" s="2398"/>
      <c r="V163" s="2398"/>
      <c r="W163" s="2398"/>
      <c r="X163" s="2398"/>
      <c r="Y163" s="2398"/>
      <c r="Z163" s="2398"/>
      <c r="AA163" s="1163"/>
      <c r="AB163" s="1163"/>
      <c r="AC163" s="1163"/>
      <c r="AD163" s="1163"/>
      <c r="AE163" s="1163"/>
      <c r="AF163" s="1163"/>
      <c r="AG163" s="1163"/>
      <c r="AH163" s="1163"/>
      <c r="AJ163" s="2399" t="s">
        <v>591</v>
      </c>
      <c r="AK163" s="239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91">
        <f>IF($AB$154="N/A",VLOOKUP($B$152,$AO$150:$AP$153,2,FALSE),VLOOKUP($B$157,$AO$155:$AP$157,2,FALSE))</f>
        <v>7</v>
      </c>
      <c r="AK165" s="249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2" t="s">
        <v>1346</v>
      </c>
      <c r="AG167" s="2392"/>
      <c r="AH167" s="2392"/>
      <c r="AI167" s="2392"/>
      <c r="AJ167" s="2392"/>
      <c r="AK167" s="2392"/>
      <c r="AL167" s="2392"/>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0" t="s">
        <v>1344</v>
      </c>
      <c r="D169" s="2590"/>
      <c r="E169" s="2590"/>
      <c r="F169" s="2590"/>
      <c r="G169" s="2590"/>
      <c r="H169" s="2590"/>
      <c r="I169" s="2590"/>
      <c r="J169" s="2590"/>
      <c r="K169" s="2590"/>
      <c r="L169" s="2590"/>
      <c r="M169" s="2590"/>
      <c r="N169" s="2590"/>
      <c r="O169" s="2590"/>
      <c r="P169" s="2590"/>
      <c r="Q169" s="2590"/>
      <c r="R169" s="2590"/>
      <c r="S169" s="2590"/>
      <c r="T169" s="2590"/>
      <c r="U169" s="2590"/>
      <c r="V169" s="2590"/>
      <c r="W169" s="2590"/>
      <c r="X169" s="2590"/>
      <c r="Y169" s="2590"/>
      <c r="Z169" s="2590"/>
      <c r="AA169" s="2590"/>
      <c r="AB169" s="2590"/>
      <c r="AC169" s="2590"/>
      <c r="AD169" s="2590"/>
      <c r="AE169" s="2590"/>
      <c r="AF169" s="2590"/>
      <c r="AG169" s="2590"/>
      <c r="AH169" s="2590"/>
      <c r="AI169" s="2590"/>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9" t="s">
        <v>591</v>
      </c>
      <c r="AG171" s="2399"/>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90" t="s">
        <v>1337</v>
      </c>
      <c r="D173" s="2590"/>
      <c r="E173" s="2590"/>
      <c r="F173" s="2590"/>
      <c r="G173" s="2590"/>
      <c r="H173" s="2590"/>
      <c r="I173" s="2590"/>
      <c r="J173" s="2590"/>
      <c r="K173" s="2590"/>
      <c r="L173" s="2590"/>
      <c r="M173" s="2590"/>
      <c r="N173" s="2590"/>
      <c r="O173" s="2590"/>
      <c r="P173" s="2590"/>
      <c r="Q173" s="2590"/>
      <c r="R173" s="2590"/>
      <c r="S173" s="2590"/>
      <c r="T173" s="2590"/>
      <c r="U173" s="2590"/>
      <c r="V173" s="2590"/>
      <c r="W173" s="2590"/>
      <c r="X173" s="2590"/>
      <c r="Y173" s="2590"/>
      <c r="Z173" s="2590"/>
      <c r="AA173" s="2590"/>
      <c r="AB173" s="2590"/>
      <c r="AC173" s="2590"/>
      <c r="AD173" s="2590"/>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91" t="str">
        <f>Application!AA344</f>
        <v xml:space="preserve">FPI Management Corporation </v>
      </c>
      <c r="D177" s="2591"/>
      <c r="E177" s="2591"/>
      <c r="F177" s="2591"/>
      <c r="G177" s="2591"/>
      <c r="H177" s="2591"/>
      <c r="I177" s="2591"/>
      <c r="J177" s="2591"/>
      <c r="K177" s="2591"/>
      <c r="L177" s="2591"/>
      <c r="M177" s="2591"/>
      <c r="N177" s="2591"/>
      <c r="O177" s="2591"/>
      <c r="P177" s="2591"/>
      <c r="Q177" s="2591"/>
      <c r="R177" s="2591"/>
      <c r="S177" s="2591"/>
      <c r="T177" s="2591"/>
      <c r="U177" s="2591"/>
      <c r="V177" s="2591"/>
      <c r="W177" s="2591"/>
      <c r="X177" s="2591"/>
      <c r="Y177" s="2591"/>
      <c r="Z177" s="2591"/>
      <c r="AA177" s="2591"/>
      <c r="AB177" s="2591"/>
      <c r="AC177" s="2591"/>
      <c r="AD177" s="2591"/>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90">
        <f>IF($AF$171="N/A",VLOOKUP($C$169,$AO$169:$AP$172,2,FALSE),VLOOKUP($C$173,$AO$176:$AP$178,2,FALSE))</f>
        <v>3</v>
      </c>
      <c r="AK179" s="249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5">
        <f>$AJ$165+$AJ$179</f>
        <v>10</v>
      </c>
      <c r="AL182" s="2586"/>
      <c r="AM182" s="258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1" t="s">
        <v>1308</v>
      </c>
      <c r="AF185" s="2451"/>
      <c r="AG185" s="2451"/>
      <c r="AH185" s="2451"/>
      <c r="AI185" s="2451"/>
      <c r="AJ185" s="2451"/>
      <c r="AK185" s="2451"/>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8" t="s">
        <v>1354</v>
      </c>
      <c r="C187" s="2588"/>
      <c r="D187" s="2588"/>
      <c r="E187" s="2588"/>
      <c r="F187" s="2588"/>
      <c r="G187" s="2588"/>
      <c r="H187" s="2588"/>
      <c r="I187" s="2588"/>
      <c r="J187" s="2588"/>
      <c r="K187" s="2588"/>
      <c r="L187" s="2588"/>
      <c r="M187" s="2588"/>
      <c r="N187" s="2588"/>
      <c r="O187" s="2588"/>
      <c r="P187" s="2588"/>
      <c r="Q187" s="2588"/>
      <c r="R187" s="2588"/>
      <c r="S187" s="2588"/>
      <c r="T187" s="2588"/>
      <c r="U187" s="2588"/>
      <c r="V187" s="2588"/>
      <c r="W187" s="2588"/>
      <c r="X187" s="2588"/>
      <c r="Y187" s="2588"/>
      <c r="Z187" s="2588"/>
      <c r="AA187" s="2588"/>
      <c r="AB187" s="2588"/>
      <c r="AC187" s="2588"/>
      <c r="AD187" s="536"/>
      <c r="AE187" s="536"/>
      <c r="AF187" s="2392" t="s">
        <v>1357</v>
      </c>
      <c r="AG187" s="2392"/>
      <c r="AH187" s="2392"/>
      <c r="AI187" s="2392"/>
      <c r="AJ187" s="2392"/>
      <c r="AK187" s="2392"/>
      <c r="AL187" s="2392"/>
      <c r="AN187" s="595"/>
      <c r="AP187" s="549" t="s">
        <v>1043</v>
      </c>
      <c r="AQ187" s="549">
        <v>10</v>
      </c>
    </row>
    <row r="188" spans="1:73" s="549" customFormat="1" ht="12.75" customHeight="1">
      <c r="A188" s="536"/>
      <c r="B188" s="2398" t="s">
        <v>1715</v>
      </c>
      <c r="C188" s="2398"/>
      <c r="D188" s="2398"/>
      <c r="E188" s="2398"/>
      <c r="F188" s="2398"/>
      <c r="G188" s="2398"/>
      <c r="H188" s="2398"/>
      <c r="I188" s="2398"/>
      <c r="J188" s="2398"/>
      <c r="K188" s="2398"/>
      <c r="L188" s="2398"/>
      <c r="M188" s="2398"/>
      <c r="N188" s="2398"/>
      <c r="O188" s="2398"/>
      <c r="P188" s="2398"/>
      <c r="Q188" s="2398"/>
      <c r="R188" s="2398"/>
      <c r="S188" s="2398"/>
      <c r="T188" s="2589" t="s">
        <v>591</v>
      </c>
      <c r="U188" s="2589"/>
      <c r="V188" s="2589"/>
      <c r="W188" s="2589"/>
      <c r="X188" s="2589"/>
      <c r="Y188" s="2589"/>
      <c r="Z188" s="2589"/>
      <c r="AA188" s="2589"/>
      <c r="AB188" s="2589"/>
      <c r="AC188" s="2589"/>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4">
        <f>IF(AK83&gt;0,VLOOKUP($B$187,AP184:AQ190,2,FALSE),0)</f>
        <v>0</v>
      </c>
      <c r="AL190" s="2440"/>
      <c r="AM190" s="2395"/>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1" t="s">
        <v>1365</v>
      </c>
      <c r="AF193" s="2451"/>
      <c r="AG193" s="2451"/>
      <c r="AH193" s="2451"/>
      <c r="AI193" s="2451"/>
      <c r="AJ193" s="2451"/>
      <c r="AK193" s="2451"/>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9"/>
      <c r="C198" s="2559"/>
      <c r="D198" s="2559"/>
      <c r="E198" s="2559"/>
      <c r="F198" s="2559"/>
      <c r="G198" s="2559"/>
      <c r="H198" s="2559"/>
      <c r="I198" s="2559"/>
      <c r="J198" s="2559"/>
      <c r="K198" s="2559"/>
      <c r="L198" s="2559"/>
      <c r="M198" s="2559"/>
      <c r="N198" s="2559"/>
      <c r="O198" s="2559"/>
      <c r="P198" s="2559"/>
      <c r="Q198" s="2559"/>
      <c r="R198" s="2559"/>
      <c r="S198" s="2559"/>
      <c r="T198" s="2559"/>
      <c r="U198" s="2559"/>
      <c r="V198" s="2559"/>
      <c r="W198" s="2559"/>
      <c r="X198" s="2559"/>
      <c r="Y198" s="2559"/>
      <c r="Z198" s="2559"/>
      <c r="AA198" s="2559"/>
      <c r="AB198" s="2559"/>
      <c r="AC198" s="842"/>
      <c r="AD198" s="2575"/>
      <c r="AE198" s="2575"/>
      <c r="AF198" s="2575"/>
      <c r="AG198" s="2575"/>
      <c r="AH198" s="2575"/>
      <c r="AI198" s="2575"/>
      <c r="AJ198" s="2575"/>
      <c r="AK198" s="608"/>
    </row>
    <row r="199" spans="1:37" hidden="1">
      <c r="A199" s="603"/>
      <c r="B199" s="2559"/>
      <c r="C199" s="2559"/>
      <c r="D199" s="2559"/>
      <c r="E199" s="2559"/>
      <c r="F199" s="2559"/>
      <c r="G199" s="2559"/>
      <c r="H199" s="2559"/>
      <c r="I199" s="2559"/>
      <c r="J199" s="2559"/>
      <c r="K199" s="2559"/>
      <c r="L199" s="2559"/>
      <c r="M199" s="2559"/>
      <c r="N199" s="2559"/>
      <c r="O199" s="2559"/>
      <c r="P199" s="2559"/>
      <c r="Q199" s="2559"/>
      <c r="R199" s="2559"/>
      <c r="S199" s="2559"/>
      <c r="T199" s="2559"/>
      <c r="U199" s="2559"/>
      <c r="V199" s="2559"/>
      <c r="W199" s="2559"/>
      <c r="X199" s="2559"/>
      <c r="Y199" s="2559"/>
      <c r="Z199" s="2559"/>
      <c r="AA199" s="2559"/>
      <c r="AB199" s="2559"/>
      <c r="AC199" s="842"/>
      <c r="AD199" s="2575"/>
      <c r="AE199" s="2575"/>
      <c r="AF199" s="2575"/>
      <c r="AG199" s="2575"/>
      <c r="AH199" s="2575"/>
      <c r="AI199" s="2575"/>
      <c r="AJ199" s="2575"/>
      <c r="AK199" s="608"/>
    </row>
    <row r="200" spans="1:37" hidden="1">
      <c r="A200" s="603"/>
      <c r="B200" s="2559"/>
      <c r="C200" s="2559"/>
      <c r="D200" s="2559"/>
      <c r="E200" s="2559"/>
      <c r="F200" s="2559"/>
      <c r="G200" s="2559"/>
      <c r="H200" s="2559"/>
      <c r="I200" s="2559"/>
      <c r="J200" s="2559"/>
      <c r="K200" s="2559"/>
      <c r="L200" s="2559"/>
      <c r="M200" s="2559"/>
      <c r="N200" s="2559"/>
      <c r="O200" s="2559"/>
      <c r="P200" s="2559"/>
      <c r="Q200" s="2559"/>
      <c r="R200" s="2559"/>
      <c r="S200" s="2559"/>
      <c r="T200" s="2559"/>
      <c r="U200" s="2559"/>
      <c r="V200" s="2559"/>
      <c r="W200" s="2559"/>
      <c r="X200" s="2559"/>
      <c r="Y200" s="2559"/>
      <c r="Z200" s="2559"/>
      <c r="AA200" s="2559"/>
      <c r="AB200" s="2559"/>
      <c r="AC200" s="842"/>
      <c r="AD200" s="2575"/>
      <c r="AE200" s="2575"/>
      <c r="AF200" s="2575"/>
      <c r="AG200" s="2575"/>
      <c r="AH200" s="2575"/>
      <c r="AI200" s="2575"/>
      <c r="AJ200" s="2575"/>
      <c r="AK200" s="608"/>
    </row>
    <row r="201" spans="1:37" hidden="1">
      <c r="A201" s="603"/>
      <c r="B201" s="2559"/>
      <c r="C201" s="2559"/>
      <c r="D201" s="2559"/>
      <c r="E201" s="2559"/>
      <c r="F201" s="2559"/>
      <c r="G201" s="2559"/>
      <c r="H201" s="2559"/>
      <c r="I201" s="2559"/>
      <c r="J201" s="2559"/>
      <c r="K201" s="2559"/>
      <c r="L201" s="2559"/>
      <c r="M201" s="2559"/>
      <c r="N201" s="2559"/>
      <c r="O201" s="2559"/>
      <c r="P201" s="2559"/>
      <c r="Q201" s="2559"/>
      <c r="R201" s="2559"/>
      <c r="S201" s="2559"/>
      <c r="T201" s="2559"/>
      <c r="U201" s="2559"/>
      <c r="V201" s="2559"/>
      <c r="W201" s="2559"/>
      <c r="X201" s="2559"/>
      <c r="Y201" s="2559"/>
      <c r="Z201" s="2559"/>
      <c r="AA201" s="2559"/>
      <c r="AB201" s="2559"/>
      <c r="AC201" s="842"/>
      <c r="AD201" s="2575"/>
      <c r="AE201" s="2575"/>
      <c r="AF201" s="2575"/>
      <c r="AG201" s="2575"/>
      <c r="AH201" s="2575"/>
      <c r="AI201" s="2575"/>
      <c r="AJ201" s="2575"/>
      <c r="AK201" s="608"/>
    </row>
    <row r="202" spans="1:37" hidden="1">
      <c r="A202" s="603"/>
      <c r="B202" s="2559"/>
      <c r="C202" s="2559"/>
      <c r="D202" s="2559"/>
      <c r="E202" s="2559"/>
      <c r="F202" s="2559"/>
      <c r="G202" s="2559"/>
      <c r="H202" s="2559"/>
      <c r="I202" s="2559"/>
      <c r="J202" s="2559"/>
      <c r="K202" s="2559"/>
      <c r="L202" s="2559"/>
      <c r="M202" s="2559"/>
      <c r="N202" s="2559"/>
      <c r="O202" s="2559"/>
      <c r="P202" s="2559"/>
      <c r="Q202" s="2559"/>
      <c r="R202" s="2559"/>
      <c r="S202" s="2559"/>
      <c r="T202" s="2559"/>
      <c r="U202" s="2559"/>
      <c r="V202" s="2559"/>
      <c r="W202" s="2559"/>
      <c r="X202" s="2559"/>
      <c r="Y202" s="2559"/>
      <c r="Z202" s="2559"/>
      <c r="AA202" s="2559"/>
      <c r="AB202" s="2559"/>
      <c r="AC202" s="842"/>
      <c r="AD202" s="2575"/>
      <c r="AE202" s="2575"/>
      <c r="AF202" s="2575"/>
      <c r="AG202" s="2575"/>
      <c r="AH202" s="2575"/>
      <c r="AI202" s="2575"/>
      <c r="AJ202" s="2575"/>
      <c r="AK202" s="608"/>
    </row>
    <row r="203" spans="1:37" hidden="1">
      <c r="A203" s="603"/>
      <c r="B203" s="2559"/>
      <c r="C203" s="2559"/>
      <c r="D203" s="2559"/>
      <c r="E203" s="2559"/>
      <c r="F203" s="2559"/>
      <c r="G203" s="2559"/>
      <c r="H203" s="2559"/>
      <c r="I203" s="2559"/>
      <c r="J203" s="2559"/>
      <c r="K203" s="2559"/>
      <c r="L203" s="2559"/>
      <c r="M203" s="2559"/>
      <c r="N203" s="2559"/>
      <c r="O203" s="2559"/>
      <c r="P203" s="2559"/>
      <c r="Q203" s="2559"/>
      <c r="R203" s="2559"/>
      <c r="S203" s="2559"/>
      <c r="T203" s="2559"/>
      <c r="U203" s="2559"/>
      <c r="V203" s="2559"/>
      <c r="W203" s="2559"/>
      <c r="X203" s="2559"/>
      <c r="Y203" s="2559"/>
      <c r="Z203" s="2559"/>
      <c r="AA203" s="2559"/>
      <c r="AB203" s="2559"/>
      <c r="AC203" s="842"/>
      <c r="AD203" s="2575"/>
      <c r="AE203" s="2575"/>
      <c r="AF203" s="2575"/>
      <c r="AG203" s="2575"/>
      <c r="AH203" s="2575"/>
      <c r="AI203" s="2575"/>
      <c r="AJ203" s="2575"/>
      <c r="AK203" s="608"/>
    </row>
    <row r="204" spans="1:37" hidden="1">
      <c r="A204" s="603"/>
      <c r="B204" s="2559"/>
      <c r="C204" s="2559"/>
      <c r="D204" s="2559"/>
      <c r="E204" s="2559"/>
      <c r="F204" s="2559"/>
      <c r="G204" s="2559"/>
      <c r="H204" s="2559"/>
      <c r="I204" s="2559"/>
      <c r="J204" s="2559"/>
      <c r="K204" s="2559"/>
      <c r="L204" s="2559"/>
      <c r="M204" s="2559"/>
      <c r="N204" s="2559"/>
      <c r="O204" s="2559"/>
      <c r="P204" s="2559"/>
      <c r="Q204" s="2559"/>
      <c r="R204" s="2559"/>
      <c r="S204" s="2559"/>
      <c r="T204" s="2559"/>
      <c r="U204" s="2559"/>
      <c r="V204" s="2559"/>
      <c r="W204" s="2559"/>
      <c r="X204" s="2559"/>
      <c r="Y204" s="2559"/>
      <c r="Z204" s="2559"/>
      <c r="AA204" s="2559"/>
      <c r="AB204" s="2559"/>
      <c r="AC204" s="842"/>
      <c r="AD204" s="2575"/>
      <c r="AE204" s="2575"/>
      <c r="AF204" s="2575"/>
      <c r="AG204" s="2575"/>
      <c r="AH204" s="2575"/>
      <c r="AI204" s="2575"/>
      <c r="AJ204" s="2575"/>
      <c r="AK204" s="608"/>
    </row>
    <row r="205" spans="1:37" hidden="1">
      <c r="A205" s="603"/>
      <c r="B205" s="2559"/>
      <c r="C205" s="2559"/>
      <c r="D205" s="2559"/>
      <c r="E205" s="2559"/>
      <c r="F205" s="2559"/>
      <c r="G205" s="2559"/>
      <c r="H205" s="2559"/>
      <c r="I205" s="2559"/>
      <c r="J205" s="2559"/>
      <c r="K205" s="2559"/>
      <c r="L205" s="2559"/>
      <c r="M205" s="2559"/>
      <c r="N205" s="2559"/>
      <c r="O205" s="2559"/>
      <c r="P205" s="2559"/>
      <c r="Q205" s="2559"/>
      <c r="R205" s="2559"/>
      <c r="S205" s="2559"/>
      <c r="T205" s="2559"/>
      <c r="U205" s="2559"/>
      <c r="V205" s="2559"/>
      <c r="W205" s="2559"/>
      <c r="X205" s="2559"/>
      <c r="Y205" s="2559"/>
      <c r="Z205" s="2559"/>
      <c r="AA205" s="2559"/>
      <c r="AB205" s="2559"/>
      <c r="AC205" s="842"/>
      <c r="AD205" s="2575"/>
      <c r="AE205" s="2575"/>
      <c r="AF205" s="2575"/>
      <c r="AG205" s="2575"/>
      <c r="AH205" s="2575"/>
      <c r="AI205" s="2575"/>
      <c r="AJ205" s="2575"/>
      <c r="AK205" s="608"/>
    </row>
    <row r="206" spans="1:37" hidden="1">
      <c r="A206" s="603"/>
      <c r="B206" s="2559"/>
      <c r="C206" s="2559"/>
      <c r="D206" s="2559"/>
      <c r="E206" s="2559"/>
      <c r="F206" s="2559"/>
      <c r="G206" s="2559"/>
      <c r="H206" s="2559"/>
      <c r="I206" s="2559"/>
      <c r="J206" s="2559"/>
      <c r="K206" s="2559"/>
      <c r="L206" s="2559"/>
      <c r="M206" s="2559"/>
      <c r="N206" s="2559"/>
      <c r="O206" s="2559"/>
      <c r="P206" s="2559"/>
      <c r="Q206" s="2559"/>
      <c r="R206" s="2559"/>
      <c r="S206" s="2559"/>
      <c r="T206" s="2559"/>
      <c r="U206" s="2559"/>
      <c r="V206" s="2559"/>
      <c r="W206" s="2559"/>
      <c r="X206" s="2559"/>
      <c r="Y206" s="2559"/>
      <c r="Z206" s="2559"/>
      <c r="AA206" s="2559"/>
      <c r="AB206" s="2559"/>
      <c r="AC206" s="842"/>
      <c r="AD206" s="2575"/>
      <c r="AE206" s="2575"/>
      <c r="AF206" s="2575"/>
      <c r="AG206" s="2575"/>
      <c r="AH206" s="2575"/>
      <c r="AI206" s="2575"/>
      <c r="AJ206" s="2575"/>
      <c r="AK206" s="608"/>
    </row>
    <row r="207" spans="1:37" hidden="1">
      <c r="A207" s="603"/>
      <c r="B207" s="2559"/>
      <c r="C207" s="2559"/>
      <c r="D207" s="2559"/>
      <c r="E207" s="2559"/>
      <c r="F207" s="2559"/>
      <c r="G207" s="2559"/>
      <c r="H207" s="2559"/>
      <c r="I207" s="2559"/>
      <c r="J207" s="2559"/>
      <c r="K207" s="2559"/>
      <c r="L207" s="2559"/>
      <c r="M207" s="2559"/>
      <c r="N207" s="2559"/>
      <c r="O207" s="2559"/>
      <c r="P207" s="2559"/>
      <c r="Q207" s="2559"/>
      <c r="R207" s="2559"/>
      <c r="S207" s="2559"/>
      <c r="T207" s="2559"/>
      <c r="U207" s="2559"/>
      <c r="V207" s="2559"/>
      <c r="W207" s="2559"/>
      <c r="X207" s="2559"/>
      <c r="Y207" s="2559"/>
      <c r="Z207" s="2559"/>
      <c r="AA207" s="2559"/>
      <c r="AB207" s="2559"/>
      <c r="AC207" s="842"/>
      <c r="AD207" s="2575"/>
      <c r="AE207" s="2575"/>
      <c r="AF207" s="2575"/>
      <c r="AG207" s="2575"/>
      <c r="AH207" s="2575"/>
      <c r="AI207" s="2575"/>
      <c r="AJ207" s="2575"/>
      <c r="AK207" s="608"/>
    </row>
    <row r="208" spans="1:37" hidden="1">
      <c r="A208" s="603"/>
      <c r="B208" s="2568" t="s">
        <v>1616</v>
      </c>
      <c r="C208" s="2568"/>
      <c r="D208" s="2568"/>
      <c r="E208" s="2568"/>
      <c r="F208" s="2568"/>
      <c r="G208" s="2568"/>
      <c r="H208" s="2568"/>
      <c r="I208" s="2568"/>
      <c r="J208" s="2568"/>
      <c r="K208" s="2568"/>
      <c r="L208" s="2568"/>
      <c r="M208" s="2568"/>
      <c r="N208" s="2568"/>
      <c r="O208" s="2568"/>
      <c r="P208" s="2568"/>
      <c r="Q208" s="2568"/>
      <c r="R208" s="2568"/>
      <c r="S208" s="2568"/>
      <c r="T208" s="2568"/>
      <c r="U208" s="2568"/>
      <c r="V208" s="2568"/>
      <c r="W208" s="2568"/>
      <c r="X208" s="2568"/>
      <c r="Y208" s="2568"/>
      <c r="Z208" s="2568"/>
      <c r="AA208" s="2568"/>
      <c r="AB208" s="2568"/>
      <c r="AC208" s="536"/>
      <c r="AD208" s="2573">
        <f>AB259</f>
        <v>0</v>
      </c>
      <c r="AE208" s="2573"/>
      <c r="AF208" s="2573"/>
      <c r="AG208" s="2573"/>
      <c r="AH208" s="2573"/>
      <c r="AI208" s="2573"/>
      <c r="AJ208" s="2573"/>
      <c r="AK208" s="608"/>
    </row>
    <row r="209" spans="1:37" hidden="1">
      <c r="A209" s="603"/>
      <c r="B209" s="2414" t="s">
        <v>1579</v>
      </c>
      <c r="C209" s="2414"/>
      <c r="D209" s="2414"/>
      <c r="E209" s="2414"/>
      <c r="F209" s="2414"/>
      <c r="G209" s="2414"/>
      <c r="H209" s="2414"/>
      <c r="I209" s="2414"/>
      <c r="J209" s="2414"/>
      <c r="K209" s="2414"/>
      <c r="L209" s="2414"/>
      <c r="M209" s="2414"/>
      <c r="N209" s="2414"/>
      <c r="O209" s="2414"/>
      <c r="P209" s="2414"/>
      <c r="Q209" s="2414"/>
      <c r="R209" s="2414"/>
      <c r="S209" s="2414"/>
      <c r="T209" s="2414"/>
      <c r="U209" s="2414"/>
      <c r="V209" s="2414"/>
      <c r="W209" s="2414"/>
      <c r="X209" s="2414"/>
      <c r="Y209" s="2414"/>
      <c r="Z209" s="2414"/>
      <c r="AA209" s="2414"/>
      <c r="AB209" s="2414"/>
      <c r="AC209" s="842"/>
      <c r="AD209" s="2574">
        <f>'Sources and Uses Budget'!B15</f>
        <v>0</v>
      </c>
      <c r="AE209" s="2574"/>
      <c r="AF209" s="2574"/>
      <c r="AG209" s="2574"/>
      <c r="AH209" s="2574"/>
      <c r="AI209" s="2574"/>
      <c r="AJ209" s="257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9">
        <f>SUM(AD198:AJ208)-AD209</f>
        <v>0</v>
      </c>
      <c r="AE210" s="2579"/>
      <c r="AF210" s="2579"/>
      <c r="AG210" s="2579"/>
      <c r="AH210" s="2579"/>
      <c r="AI210" s="2579"/>
      <c r="AJ210" s="257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2" t="s">
        <v>1596</v>
      </c>
      <c r="J221" s="2602"/>
      <c r="K221" s="2602"/>
      <c r="L221" s="536"/>
      <c r="M221" s="536"/>
      <c r="N221" s="536"/>
      <c r="O221" s="536"/>
      <c r="P221" s="536"/>
      <c r="Q221" s="536"/>
      <c r="R221" s="536"/>
      <c r="S221" s="536"/>
      <c r="T221" s="2428" t="s">
        <v>1590</v>
      </c>
      <c r="U221" s="2428"/>
      <c r="V221" s="2428"/>
      <c r="W221" s="2428"/>
      <c r="X221" s="2428"/>
      <c r="Y221" s="2428"/>
      <c r="Z221" s="845"/>
      <c r="AA221" s="489"/>
      <c r="AB221" s="2592" t="s">
        <v>1591</v>
      </c>
      <c r="AC221" s="2592"/>
      <c r="AD221" s="2592"/>
      <c r="AE221" s="2592"/>
      <c r="AF221" s="2592"/>
      <c r="AG221" s="2592"/>
      <c r="AH221" s="823"/>
      <c r="AI221" s="823"/>
      <c r="AJ221" s="823"/>
      <c r="AK221" s="608"/>
    </row>
    <row r="222" spans="1:37" hidden="1">
      <c r="A222" s="603"/>
      <c r="B222" s="2600" t="s">
        <v>1576</v>
      </c>
      <c r="C222" s="2600"/>
      <c r="D222" s="2600"/>
      <c r="E222" s="2600"/>
      <c r="F222" s="2600"/>
      <c r="G222" s="2600"/>
      <c r="I222" s="2601" t="s">
        <v>1597</v>
      </c>
      <c r="J222" s="2601"/>
      <c r="K222" s="2601"/>
      <c r="L222" s="1003"/>
      <c r="N222" s="2415" t="s">
        <v>1592</v>
      </c>
      <c r="O222" s="2415"/>
      <c r="P222" s="2415"/>
      <c r="Q222" s="2415"/>
      <c r="R222" s="2415"/>
      <c r="T222" s="2415" t="s">
        <v>1593</v>
      </c>
      <c r="U222" s="2415"/>
      <c r="V222" s="2415"/>
      <c r="W222" s="2415"/>
      <c r="X222" s="2415"/>
      <c r="Y222" s="2415"/>
      <c r="Z222" s="846"/>
      <c r="AA222" s="489"/>
      <c r="AB222" s="2471" t="s">
        <v>1594</v>
      </c>
      <c r="AC222" s="2471"/>
      <c r="AD222" s="2471"/>
      <c r="AE222" s="2471"/>
      <c r="AF222" s="2471"/>
      <c r="AG222" s="2471"/>
      <c r="AH222" s="823"/>
      <c r="AI222" s="823"/>
      <c r="AJ222" s="823"/>
      <c r="AK222" s="608"/>
    </row>
    <row r="223" spans="1:37" hidden="1">
      <c r="A223" s="603"/>
      <c r="B223" s="2472" t="s">
        <v>1184</v>
      </c>
      <c r="C223" s="2472"/>
      <c r="D223" s="2472"/>
      <c r="E223" s="2472"/>
      <c r="F223" s="2472"/>
      <c r="G223" s="2472"/>
      <c r="H223" s="848"/>
      <c r="I223" s="2431"/>
      <c r="J223" s="2431"/>
      <c r="K223" s="2431"/>
      <c r="L223" s="1003"/>
      <c r="N223" s="2429"/>
      <c r="O223" s="2429"/>
      <c r="P223" s="2429"/>
      <c r="Q223" s="2429"/>
      <c r="R223" s="2429"/>
      <c r="T223" s="2411"/>
      <c r="U223" s="2411"/>
      <c r="V223" s="2411"/>
      <c r="W223" s="2411"/>
      <c r="X223" s="2411"/>
      <c r="Y223" s="2411"/>
      <c r="Z223" s="847"/>
      <c r="AA223" s="847"/>
      <c r="AB223" s="2409">
        <f t="shared" ref="AB223:AB232" si="0">MAX(($T223-$N223)*$I223*12,0)</f>
        <v>0</v>
      </c>
      <c r="AC223" s="2409"/>
      <c r="AD223" s="2409"/>
      <c r="AE223" s="2409"/>
      <c r="AF223" s="2409"/>
      <c r="AG223" s="2409"/>
      <c r="AH223" s="823"/>
      <c r="AI223" s="823"/>
      <c r="AJ223" s="823"/>
      <c r="AK223" s="608"/>
    </row>
    <row r="224" spans="1:37" hidden="1">
      <c r="A224" s="603"/>
      <c r="B224" s="2472" t="s">
        <v>1184</v>
      </c>
      <c r="C224" s="2472"/>
      <c r="D224" s="2472"/>
      <c r="E224" s="2472"/>
      <c r="F224" s="2472"/>
      <c r="G224" s="2472"/>
      <c r="I224" s="2431"/>
      <c r="J224" s="2431"/>
      <c r="K224" s="2431"/>
      <c r="L224" s="1003"/>
      <c r="N224" s="2429"/>
      <c r="O224" s="2429"/>
      <c r="P224" s="2429"/>
      <c r="Q224" s="2429"/>
      <c r="R224" s="2429"/>
      <c r="T224" s="2411"/>
      <c r="U224" s="2411"/>
      <c r="V224" s="2411"/>
      <c r="W224" s="2411"/>
      <c r="X224" s="2411"/>
      <c r="Y224" s="2411"/>
      <c r="Z224" s="847"/>
      <c r="AA224" s="847"/>
      <c r="AB224" s="2409">
        <f t="shared" si="0"/>
        <v>0</v>
      </c>
      <c r="AC224" s="2409"/>
      <c r="AD224" s="2409"/>
      <c r="AE224" s="2409"/>
      <c r="AF224" s="2409"/>
      <c r="AG224" s="2409"/>
      <c r="AH224" s="823"/>
      <c r="AI224" s="823"/>
      <c r="AJ224" s="823"/>
      <c r="AK224" s="608"/>
    </row>
    <row r="225" spans="1:37" hidden="1">
      <c r="A225" s="603"/>
      <c r="B225" s="2472" t="s">
        <v>1184</v>
      </c>
      <c r="C225" s="2472"/>
      <c r="D225" s="2472"/>
      <c r="E225" s="2472"/>
      <c r="F225" s="2472"/>
      <c r="G225" s="2472"/>
      <c r="I225" s="2431"/>
      <c r="J225" s="2431"/>
      <c r="K225" s="2431"/>
      <c r="L225" s="1003"/>
      <c r="N225" s="2429"/>
      <c r="O225" s="2429"/>
      <c r="P225" s="2429"/>
      <c r="Q225" s="2429"/>
      <c r="R225" s="2429"/>
      <c r="T225" s="2411"/>
      <c r="U225" s="2411"/>
      <c r="V225" s="2411"/>
      <c r="W225" s="2411"/>
      <c r="X225" s="2411"/>
      <c r="Y225" s="2411"/>
      <c r="Z225" s="847"/>
      <c r="AA225" s="847"/>
      <c r="AB225" s="2409">
        <f t="shared" si="0"/>
        <v>0</v>
      </c>
      <c r="AC225" s="2409"/>
      <c r="AD225" s="2409"/>
      <c r="AE225" s="2409"/>
      <c r="AF225" s="2409"/>
      <c r="AG225" s="2409"/>
      <c r="AH225" s="823"/>
      <c r="AI225" s="823"/>
      <c r="AJ225" s="823"/>
      <c r="AK225" s="608"/>
    </row>
    <row r="226" spans="1:37" hidden="1">
      <c r="A226" s="603"/>
      <c r="B226" s="2472" t="s">
        <v>1184</v>
      </c>
      <c r="C226" s="2472"/>
      <c r="D226" s="2472"/>
      <c r="E226" s="2472"/>
      <c r="F226" s="2472"/>
      <c r="G226" s="2472"/>
      <c r="I226" s="2431"/>
      <c r="J226" s="2431"/>
      <c r="K226" s="2431"/>
      <c r="L226" s="1003"/>
      <c r="N226" s="2429"/>
      <c r="O226" s="2429"/>
      <c r="P226" s="2429"/>
      <c r="Q226" s="2429"/>
      <c r="R226" s="2429"/>
      <c r="T226" s="2411"/>
      <c r="U226" s="2411"/>
      <c r="V226" s="2411"/>
      <c r="W226" s="2411"/>
      <c r="X226" s="2411"/>
      <c r="Y226" s="2411"/>
      <c r="Z226" s="847"/>
      <c r="AA226" s="847"/>
      <c r="AB226" s="2409">
        <f t="shared" si="0"/>
        <v>0</v>
      </c>
      <c r="AC226" s="2409"/>
      <c r="AD226" s="2409"/>
      <c r="AE226" s="2409"/>
      <c r="AF226" s="2409"/>
      <c r="AG226" s="2409"/>
      <c r="AH226" s="823"/>
      <c r="AI226" s="823"/>
      <c r="AJ226" s="823"/>
      <c r="AK226" s="608"/>
    </row>
    <row r="227" spans="1:37" hidden="1">
      <c r="A227" s="603"/>
      <c r="B227" s="2472" t="s">
        <v>1184</v>
      </c>
      <c r="C227" s="2472"/>
      <c r="D227" s="2472"/>
      <c r="E227" s="2472"/>
      <c r="F227" s="2472"/>
      <c r="G227" s="2472"/>
      <c r="I227" s="2431"/>
      <c r="J227" s="2431"/>
      <c r="K227" s="2431"/>
      <c r="L227" s="1010"/>
      <c r="N227" s="2429"/>
      <c r="O227" s="2429"/>
      <c r="P227" s="2429"/>
      <c r="Q227" s="2429"/>
      <c r="R227" s="2429"/>
      <c r="T227" s="2411"/>
      <c r="U227" s="2411"/>
      <c r="V227" s="2411"/>
      <c r="W227" s="2411"/>
      <c r="X227" s="2411"/>
      <c r="Y227" s="2411"/>
      <c r="Z227" s="847"/>
      <c r="AA227" s="847"/>
      <c r="AB227" s="2409">
        <f t="shared" si="0"/>
        <v>0</v>
      </c>
      <c r="AC227" s="2409"/>
      <c r="AD227" s="2409"/>
      <c r="AE227" s="2409"/>
      <c r="AF227" s="2409"/>
      <c r="AG227" s="2409"/>
      <c r="AH227" s="823"/>
      <c r="AI227" s="823"/>
      <c r="AJ227" s="823"/>
      <c r="AK227" s="608"/>
    </row>
    <row r="228" spans="1:37" hidden="1">
      <c r="A228" s="603"/>
      <c r="B228" s="2472" t="s">
        <v>1184</v>
      </c>
      <c r="C228" s="2472"/>
      <c r="D228" s="2472"/>
      <c r="E228" s="2472"/>
      <c r="F228" s="2472"/>
      <c r="G228" s="2472"/>
      <c r="I228" s="2431"/>
      <c r="J228" s="2431"/>
      <c r="K228" s="2431"/>
      <c r="L228" s="1010"/>
      <c r="N228" s="2429"/>
      <c r="O228" s="2429"/>
      <c r="P228" s="2429"/>
      <c r="Q228" s="2429"/>
      <c r="R228" s="2429"/>
      <c r="T228" s="2411"/>
      <c r="U228" s="2411"/>
      <c r="V228" s="2411"/>
      <c r="W228" s="2411"/>
      <c r="X228" s="2411"/>
      <c r="Y228" s="2411"/>
      <c r="Z228" s="847"/>
      <c r="AA228" s="847"/>
      <c r="AB228" s="2409">
        <f t="shared" si="0"/>
        <v>0</v>
      </c>
      <c r="AC228" s="2409"/>
      <c r="AD228" s="2409"/>
      <c r="AE228" s="2409"/>
      <c r="AF228" s="2409"/>
      <c r="AG228" s="2409"/>
      <c r="AH228" s="823"/>
      <c r="AI228" s="823"/>
      <c r="AJ228" s="823"/>
      <c r="AK228" s="608"/>
    </row>
    <row r="229" spans="1:37" hidden="1">
      <c r="A229" s="603"/>
      <c r="B229" s="2472" t="s">
        <v>1184</v>
      </c>
      <c r="C229" s="2472"/>
      <c r="D229" s="2472"/>
      <c r="E229" s="2472"/>
      <c r="F229" s="2472"/>
      <c r="G229" s="2472"/>
      <c r="I229" s="2431"/>
      <c r="J229" s="2431"/>
      <c r="K229" s="2431"/>
      <c r="L229" s="1010"/>
      <c r="N229" s="2429"/>
      <c r="O229" s="2429"/>
      <c r="P229" s="2429"/>
      <c r="Q229" s="2429"/>
      <c r="R229" s="2429"/>
      <c r="T229" s="2411"/>
      <c r="U229" s="2411"/>
      <c r="V229" s="2411"/>
      <c r="W229" s="2411"/>
      <c r="X229" s="2411"/>
      <c r="Y229" s="2411"/>
      <c r="Z229" s="847"/>
      <c r="AA229" s="847"/>
      <c r="AB229" s="2409">
        <f t="shared" si="0"/>
        <v>0</v>
      </c>
      <c r="AC229" s="2409"/>
      <c r="AD229" s="2409"/>
      <c r="AE229" s="2409"/>
      <c r="AF229" s="2409"/>
      <c r="AG229" s="2409"/>
      <c r="AH229" s="823"/>
      <c r="AI229" s="823"/>
      <c r="AJ229" s="823"/>
      <c r="AK229" s="608"/>
    </row>
    <row r="230" spans="1:37" hidden="1">
      <c r="A230" s="603"/>
      <c r="B230" s="2472" t="s">
        <v>1184</v>
      </c>
      <c r="C230" s="2472"/>
      <c r="D230" s="2472"/>
      <c r="E230" s="2472"/>
      <c r="F230" s="2472"/>
      <c r="G230" s="2472"/>
      <c r="I230" s="2431"/>
      <c r="J230" s="2431"/>
      <c r="K230" s="2431"/>
      <c r="L230" s="1010"/>
      <c r="N230" s="2429"/>
      <c r="O230" s="2429"/>
      <c r="P230" s="2429"/>
      <c r="Q230" s="2429"/>
      <c r="R230" s="2429"/>
      <c r="T230" s="2411"/>
      <c r="U230" s="2411"/>
      <c r="V230" s="2411"/>
      <c r="W230" s="2411"/>
      <c r="X230" s="2411"/>
      <c r="Y230" s="2411"/>
      <c r="Z230" s="847"/>
      <c r="AA230" s="847"/>
      <c r="AB230" s="2409">
        <f t="shared" si="0"/>
        <v>0</v>
      </c>
      <c r="AC230" s="2409"/>
      <c r="AD230" s="2409"/>
      <c r="AE230" s="2409"/>
      <c r="AF230" s="2409"/>
      <c r="AG230" s="2409"/>
      <c r="AH230" s="823"/>
      <c r="AI230" s="823"/>
      <c r="AJ230" s="823"/>
      <c r="AK230" s="608"/>
    </row>
    <row r="231" spans="1:37" hidden="1">
      <c r="A231" s="603"/>
      <c r="B231" s="2472" t="s">
        <v>1184</v>
      </c>
      <c r="C231" s="2472"/>
      <c r="D231" s="2472"/>
      <c r="E231" s="2472"/>
      <c r="F231" s="2472"/>
      <c r="G231" s="2472"/>
      <c r="I231" s="2431"/>
      <c r="J231" s="2431"/>
      <c r="K231" s="2431"/>
      <c r="L231" s="1010"/>
      <c r="N231" s="2429"/>
      <c r="O231" s="2429"/>
      <c r="P231" s="2429"/>
      <c r="Q231" s="2429"/>
      <c r="R231" s="2429"/>
      <c r="T231" s="2411"/>
      <c r="U231" s="2411"/>
      <c r="V231" s="2411"/>
      <c r="W231" s="2411"/>
      <c r="X231" s="2411"/>
      <c r="Y231" s="2411"/>
      <c r="Z231" s="847"/>
      <c r="AA231" s="847"/>
      <c r="AB231" s="2409">
        <f t="shared" si="0"/>
        <v>0</v>
      </c>
      <c r="AC231" s="2409"/>
      <c r="AD231" s="2409"/>
      <c r="AE231" s="2409"/>
      <c r="AF231" s="2409"/>
      <c r="AG231" s="2409"/>
      <c r="AH231" s="823"/>
      <c r="AI231" s="823"/>
      <c r="AJ231" s="823"/>
      <c r="AK231" s="608"/>
    </row>
    <row r="232" spans="1:37" hidden="1">
      <c r="A232" s="603"/>
      <c r="B232" s="2472" t="s">
        <v>1184</v>
      </c>
      <c r="C232" s="2472"/>
      <c r="D232" s="2472"/>
      <c r="E232" s="2472"/>
      <c r="F232" s="2472"/>
      <c r="G232" s="2472"/>
      <c r="I232" s="2603"/>
      <c r="J232" s="2603"/>
      <c r="K232" s="2603"/>
      <c r="L232" s="1010"/>
      <c r="N232" s="2429"/>
      <c r="O232" s="2429"/>
      <c r="P232" s="2429"/>
      <c r="Q232" s="2429"/>
      <c r="R232" s="2429"/>
      <c r="T232" s="2411"/>
      <c r="U232" s="2411"/>
      <c r="V232" s="2411"/>
      <c r="W232" s="2411"/>
      <c r="X232" s="2411"/>
      <c r="Y232" s="2411"/>
      <c r="Z232" s="847"/>
      <c r="AA232" s="847"/>
      <c r="AB232" s="2410">
        <f t="shared" si="0"/>
        <v>0</v>
      </c>
      <c r="AC232" s="2410"/>
      <c r="AD232" s="2410"/>
      <c r="AE232" s="2410"/>
      <c r="AF232" s="2410"/>
      <c r="AG232" s="241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9">
        <f>SUM(AB223:AB232)</f>
        <v>0</v>
      </c>
      <c r="AC233" s="2409"/>
      <c r="AD233" s="2409"/>
      <c r="AE233" s="2409"/>
      <c r="AF233" s="2409"/>
      <c r="AG233" s="240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4"/>
      <c r="AC239" s="2444"/>
      <c r="AD239" s="2444"/>
      <c r="AE239" s="2444"/>
      <c r="AF239" s="2444"/>
      <c r="AG239" s="2444"/>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4"/>
      <c r="AC242" s="2444"/>
      <c r="AD242" s="2444"/>
      <c r="AE242" s="2444"/>
      <c r="AF242" s="2444"/>
      <c r="AG242" s="2444"/>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7"/>
      <c r="AC243" s="2427"/>
      <c r="AD243" s="2427"/>
      <c r="AE243" s="2427"/>
      <c r="AF243" s="2427"/>
      <c r="AG243" s="2427"/>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2">
        <f>IFERROR(AB242/AB243,0)</f>
        <v>0</v>
      </c>
      <c r="AC244" s="2412"/>
      <c r="AD244" s="2412"/>
      <c r="AE244" s="2412"/>
      <c r="AF244" s="2412"/>
      <c r="AG244" s="241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0">
        <f>MAX(AB239,AB244)</f>
        <v>0</v>
      </c>
      <c r="AC246" s="2410"/>
      <c r="AD246" s="2410"/>
      <c r="AE246" s="2410"/>
      <c r="AF246" s="2410"/>
      <c r="AG246" s="241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9">
        <f>AB233+AB246</f>
        <v>0</v>
      </c>
      <c r="AC249" s="2409"/>
      <c r="AD249" s="2409"/>
      <c r="AE249" s="2409"/>
      <c r="AF249" s="2409"/>
      <c r="AG249" s="2409"/>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3">
        <v>0.05</v>
      </c>
      <c r="AC250" s="2583"/>
      <c r="AD250" s="2583"/>
      <c r="AE250" s="2583"/>
      <c r="AF250" s="2583"/>
      <c r="AG250" s="2583"/>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4">
        <f>AB249-(AB249*AB250)</f>
        <v>0</v>
      </c>
      <c r="AC251" s="2584"/>
      <c r="AD251" s="2584"/>
      <c r="AE251" s="2584"/>
      <c r="AF251" s="2584"/>
      <c r="AG251" s="2584"/>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9">
        <f>AB251/AB257</f>
        <v>0</v>
      </c>
      <c r="AC253" s="2409"/>
      <c r="AD253" s="2409"/>
      <c r="AE253" s="2409"/>
      <c r="AF253" s="2409"/>
      <c r="AG253" s="240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2">
        <v>15</v>
      </c>
      <c r="AC255" s="2592"/>
      <c r="AD255" s="2592"/>
      <c r="AE255" s="2592"/>
      <c r="AF255" s="2592"/>
      <c r="AG255" s="2592"/>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0">
        <v>0.04</v>
      </c>
      <c r="AC256" s="2560"/>
      <c r="AD256" s="2560"/>
      <c r="AE256" s="2560"/>
      <c r="AF256" s="2560"/>
      <c r="AG256" s="2560"/>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9">
        <v>1.1499999999999999</v>
      </c>
      <c r="AC257" s="2569"/>
      <c r="AD257" s="2569"/>
      <c r="AE257" s="2569"/>
      <c r="AF257" s="2569"/>
      <c r="AG257" s="256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6">
        <f>PV(AB256/12,AB255*12,-AB253/12, ,0)</f>
        <v>0</v>
      </c>
      <c r="AC259" s="2577"/>
      <c r="AD259" s="2577"/>
      <c r="AE259" s="2577"/>
      <c r="AF259" s="2577"/>
      <c r="AG259" s="257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0">
        <f>IFERROR(('Sources and Uses Budget'!D105/'Sources and Uses Budget'!B105),0)</f>
        <v>0</v>
      </c>
      <c r="AC265" s="2581"/>
      <c r="AD265" s="2581"/>
      <c r="AE265" s="2581"/>
      <c r="AF265" s="2581"/>
      <c r="AG265" s="258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7">
        <f>AD210*(1-AB265)</f>
        <v>0</v>
      </c>
      <c r="AH267" s="2437"/>
      <c r="AI267" s="2437"/>
      <c r="AJ267" s="2437"/>
      <c r="AK267" s="2437"/>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7">
        <f>'Sources and Uses Budget'!C105</f>
        <v>72517160</v>
      </c>
      <c r="AH268" s="2437"/>
      <c r="AI268" s="2437"/>
      <c r="AJ268" s="2437"/>
      <c r="AK268" s="243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2">
        <f>ROUNDDOWN(IF(AND(C305="Yes",AK83=10),((AG267*2)/AG268),AG267/AG268),2)</f>
        <v>0</v>
      </c>
      <c r="AH269" s="2572"/>
      <c r="AI269" s="2572"/>
      <c r="AJ269" s="2572"/>
      <c r="AK269" s="2572"/>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62">
        <f>IFERROR(IF(AG269=0,0,IF((AG269*100)&gt;8,8,(AG269*100))),0)</f>
        <v>0</v>
      </c>
      <c r="AL272" s="2562"/>
      <c r="AM272" s="256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3" t="s">
        <v>545</v>
      </c>
      <c r="D279" s="2413"/>
      <c r="E279" s="546"/>
      <c r="F279" s="2400" t="s">
        <v>2563</v>
      </c>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49"/>
      <c r="AF279" s="633"/>
      <c r="AG279" s="2570" t="s">
        <v>1357</v>
      </c>
      <c r="AH279" s="2570"/>
      <c r="AI279" s="2570"/>
      <c r="AJ279" s="2570"/>
      <c r="AK279" s="549"/>
      <c r="AL279" s="549"/>
      <c r="AM279" s="549"/>
      <c r="AO279" s="549"/>
    </row>
    <row r="280" spans="1:52" ht="13.7" customHeight="1">
      <c r="A280" s="549"/>
      <c r="B280" s="594"/>
      <c r="C280" s="634"/>
      <c r="D280" s="549"/>
      <c r="E280" s="546"/>
      <c r="F280" s="2403"/>
      <c r="G280" s="2404"/>
      <c r="H280" s="2404"/>
      <c r="I280" s="2404"/>
      <c r="J280" s="2404"/>
      <c r="K280" s="2404"/>
      <c r="L280" s="2404"/>
      <c r="M280" s="2404"/>
      <c r="N280" s="2404"/>
      <c r="O280" s="2404"/>
      <c r="P280" s="2404"/>
      <c r="Q280" s="2404"/>
      <c r="R280" s="2404"/>
      <c r="S280" s="2404"/>
      <c r="T280" s="2404"/>
      <c r="U280" s="2404"/>
      <c r="V280" s="2404"/>
      <c r="W280" s="2404"/>
      <c r="X280" s="2404"/>
      <c r="Y280" s="2404"/>
      <c r="Z280" s="2404"/>
      <c r="AA280" s="2404"/>
      <c r="AB280" s="2404"/>
      <c r="AC280" s="2404"/>
      <c r="AD280" s="2405"/>
      <c r="AE280" s="549"/>
      <c r="AF280" s="633"/>
      <c r="AG280" s="633"/>
      <c r="AH280" s="633"/>
      <c r="AI280" s="633"/>
      <c r="AJ280" s="549"/>
      <c r="AK280" s="549"/>
      <c r="AL280" s="549"/>
      <c r="AM280" s="549"/>
      <c r="AO280" s="549"/>
    </row>
    <row r="281" spans="1:52" ht="13.7" customHeight="1">
      <c r="A281" s="549"/>
      <c r="B281" s="594"/>
      <c r="C281" s="634"/>
      <c r="D281" s="549"/>
      <c r="E281" s="546"/>
      <c r="F281" s="2403"/>
      <c r="G281" s="2404"/>
      <c r="H281" s="2404"/>
      <c r="I281" s="2404"/>
      <c r="J281" s="2404"/>
      <c r="K281" s="2404"/>
      <c r="L281" s="2404"/>
      <c r="M281" s="2404"/>
      <c r="N281" s="2404"/>
      <c r="O281" s="2404"/>
      <c r="P281" s="2404"/>
      <c r="Q281" s="2404"/>
      <c r="R281" s="2404"/>
      <c r="S281" s="2404"/>
      <c r="T281" s="2404"/>
      <c r="U281" s="2404"/>
      <c r="V281" s="2404"/>
      <c r="W281" s="2404"/>
      <c r="X281" s="2404"/>
      <c r="Y281" s="2404"/>
      <c r="Z281" s="2404"/>
      <c r="AA281" s="2404"/>
      <c r="AB281" s="2404"/>
      <c r="AC281" s="2404"/>
      <c r="AD281" s="2405"/>
      <c r="AE281" s="549"/>
      <c r="AF281" s="633"/>
      <c r="AG281" s="633"/>
      <c r="AH281" s="633"/>
      <c r="AI281" s="633"/>
      <c r="AJ281" s="549"/>
      <c r="AK281" s="549"/>
      <c r="AL281" s="549"/>
      <c r="AM281" s="549"/>
      <c r="AO281" s="549"/>
    </row>
    <row r="282" spans="1:52" ht="13.7" customHeight="1">
      <c r="A282" s="549"/>
      <c r="B282" s="594"/>
      <c r="C282" s="634"/>
      <c r="D282" s="549"/>
      <c r="E282" s="546"/>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49"/>
      <c r="AF282" s="633"/>
      <c r="AG282" s="633"/>
      <c r="AH282" s="633"/>
      <c r="AI282" s="633"/>
      <c r="AJ282" s="549"/>
      <c r="AK282" s="549"/>
      <c r="AL282" s="549"/>
      <c r="AM282" s="549"/>
      <c r="AO282" s="549"/>
    </row>
    <row r="283" spans="1:52" ht="13.7" customHeight="1">
      <c r="A283" s="549"/>
      <c r="B283" s="594"/>
      <c r="C283" s="634"/>
      <c r="D283" s="549"/>
      <c r="E283" s="546"/>
      <c r="F283" s="2403"/>
      <c r="G283" s="2404"/>
      <c r="H283" s="2404"/>
      <c r="I283" s="2404"/>
      <c r="J283" s="2404"/>
      <c r="K283" s="2404"/>
      <c r="L283" s="2404"/>
      <c r="M283" s="2404"/>
      <c r="N283" s="2404"/>
      <c r="O283" s="2404"/>
      <c r="P283" s="2404"/>
      <c r="Q283" s="2404"/>
      <c r="R283" s="2404"/>
      <c r="S283" s="2404"/>
      <c r="T283" s="2404"/>
      <c r="U283" s="2404"/>
      <c r="V283" s="2404"/>
      <c r="W283" s="2404"/>
      <c r="X283" s="2404"/>
      <c r="Y283" s="2404"/>
      <c r="Z283" s="2404"/>
      <c r="AA283" s="2404"/>
      <c r="AB283" s="2404"/>
      <c r="AC283" s="2404"/>
      <c r="AD283" s="2405"/>
      <c r="AE283" s="549"/>
      <c r="AF283" s="633"/>
      <c r="AG283" s="633"/>
      <c r="AH283" s="633"/>
      <c r="AI283" s="633"/>
      <c r="AJ283" s="549"/>
      <c r="AK283" s="549"/>
      <c r="AL283" s="549"/>
      <c r="AM283" s="549"/>
      <c r="AO283" s="549"/>
    </row>
    <row r="284" spans="1:52">
      <c r="A284" s="549"/>
      <c r="B284" s="594"/>
      <c r="C284" s="634"/>
      <c r="D284" s="549"/>
      <c r="E284" s="546"/>
      <c r="F284" s="2403"/>
      <c r="G284" s="2404"/>
      <c r="H284" s="2404"/>
      <c r="I284" s="2404"/>
      <c r="J284" s="2404"/>
      <c r="K284" s="2404"/>
      <c r="L284" s="2404"/>
      <c r="M284" s="2404"/>
      <c r="N284" s="2404"/>
      <c r="O284" s="2404"/>
      <c r="P284" s="2404"/>
      <c r="Q284" s="2404"/>
      <c r="R284" s="2404"/>
      <c r="S284" s="2404"/>
      <c r="T284" s="2404"/>
      <c r="U284" s="2404"/>
      <c r="V284" s="2404"/>
      <c r="W284" s="2404"/>
      <c r="X284" s="2404"/>
      <c r="Y284" s="2404"/>
      <c r="Z284" s="2404"/>
      <c r="AA284" s="2404"/>
      <c r="AB284" s="2404"/>
      <c r="AC284" s="2404"/>
      <c r="AD284" s="2405"/>
      <c r="AE284" s="549"/>
      <c r="AF284" s="633"/>
      <c r="AG284" s="633"/>
      <c r="AH284" s="633"/>
      <c r="AI284" s="633"/>
      <c r="AJ284" s="549"/>
      <c r="AK284" s="549"/>
      <c r="AL284" s="549"/>
      <c r="AM284" s="549"/>
      <c r="AO284" s="549"/>
      <c r="AP284" s="635"/>
    </row>
    <row r="285" spans="1:52">
      <c r="A285" s="549"/>
      <c r="B285" s="594"/>
      <c r="C285" s="634"/>
      <c r="D285" s="549"/>
      <c r="E285" s="546"/>
      <c r="F285" s="2403"/>
      <c r="G285" s="2404"/>
      <c r="H285" s="2404"/>
      <c r="I285" s="2404"/>
      <c r="J285" s="2404"/>
      <c r="K285" s="2404"/>
      <c r="L285" s="2404"/>
      <c r="M285" s="2404"/>
      <c r="N285" s="2404"/>
      <c r="O285" s="2404"/>
      <c r="P285" s="2404"/>
      <c r="Q285" s="2404"/>
      <c r="R285" s="2404"/>
      <c r="S285" s="2404"/>
      <c r="T285" s="2404"/>
      <c r="U285" s="2404"/>
      <c r="V285" s="2404"/>
      <c r="W285" s="2404"/>
      <c r="X285" s="2404"/>
      <c r="Y285" s="2404"/>
      <c r="Z285" s="2404"/>
      <c r="AA285" s="2404"/>
      <c r="AB285" s="2404"/>
      <c r="AC285" s="2404"/>
      <c r="AD285" s="2405"/>
      <c r="AE285" s="549"/>
      <c r="AF285" s="633"/>
      <c r="AG285" s="633"/>
      <c r="AH285" s="633"/>
      <c r="AI285" s="633"/>
      <c r="AJ285" s="549"/>
      <c r="AK285" s="549"/>
      <c r="AL285" s="549"/>
      <c r="AM285" s="549"/>
      <c r="AO285" s="549"/>
      <c r="AP285" s="635"/>
    </row>
    <row r="286" spans="1:52" ht="13.7" customHeight="1">
      <c r="A286" s="549"/>
      <c r="B286" s="594"/>
      <c r="C286" s="2571"/>
      <c r="D286" s="2571"/>
      <c r="E286" s="546"/>
      <c r="F286" s="2406"/>
      <c r="G286" s="2407"/>
      <c r="H286" s="2407"/>
      <c r="I286" s="2407"/>
      <c r="J286" s="2407"/>
      <c r="K286" s="2407"/>
      <c r="L286" s="2407"/>
      <c r="M286" s="2407"/>
      <c r="N286" s="2407"/>
      <c r="O286" s="2407"/>
      <c r="P286" s="2407"/>
      <c r="Q286" s="2407"/>
      <c r="R286" s="2407"/>
      <c r="S286" s="2407"/>
      <c r="T286" s="2407"/>
      <c r="U286" s="2407"/>
      <c r="V286" s="2407"/>
      <c r="W286" s="2407"/>
      <c r="X286" s="2407"/>
      <c r="Y286" s="2407"/>
      <c r="Z286" s="2407"/>
      <c r="AA286" s="2407"/>
      <c r="AB286" s="2407"/>
      <c r="AC286" s="2407"/>
      <c r="AD286" s="2408"/>
      <c r="AE286" s="549"/>
      <c r="AF286" s="633"/>
      <c r="AG286" s="2570"/>
      <c r="AH286" s="2570"/>
      <c r="AI286" s="2570"/>
      <c r="AJ286" s="2570"/>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2" t="s">
        <v>2570</v>
      </c>
      <c r="C289" s="2442"/>
      <c r="D289" s="2442"/>
      <c r="E289" s="2442"/>
      <c r="F289" s="2442"/>
      <c r="G289" s="2442"/>
      <c r="H289" s="2442"/>
      <c r="I289" s="2442"/>
      <c r="J289" s="2442"/>
      <c r="K289" s="2442"/>
      <c r="L289" s="2442"/>
      <c r="M289" s="2442"/>
      <c r="N289" s="2442"/>
      <c r="O289" s="2442"/>
      <c r="P289" s="2442"/>
      <c r="Q289" s="2442"/>
      <c r="R289" s="2442"/>
      <c r="S289" s="2442"/>
      <c r="T289" s="2442"/>
      <c r="U289" s="2442"/>
      <c r="V289" s="2442"/>
      <c r="W289" s="2442"/>
      <c r="X289" s="2442"/>
      <c r="Y289" s="2442"/>
      <c r="Z289" s="2442"/>
      <c r="AA289" s="2442"/>
      <c r="AB289" s="2442"/>
      <c r="AC289" s="2442"/>
      <c r="AD289" s="2442"/>
      <c r="AE289" s="2442"/>
      <c r="AF289" s="2442"/>
      <c r="AG289" s="2442"/>
      <c r="AH289" s="2442"/>
      <c r="AI289" s="2442"/>
      <c r="AJ289" s="2442"/>
      <c r="AK289" s="2442"/>
      <c r="AL289" s="2442"/>
      <c r="AM289" s="549"/>
      <c r="AN289" s="73"/>
    </row>
    <row r="290" spans="1:49">
      <c r="A290" s="549"/>
      <c r="B290" s="2442"/>
      <c r="C290" s="2442"/>
      <c r="D290" s="2442"/>
      <c r="E290" s="2442"/>
      <c r="F290" s="2442"/>
      <c r="G290" s="2442"/>
      <c r="H290" s="2442"/>
      <c r="I290" s="2442"/>
      <c r="J290" s="2442"/>
      <c r="K290" s="2442"/>
      <c r="L290" s="2442"/>
      <c r="M290" s="2442"/>
      <c r="N290" s="2442"/>
      <c r="O290" s="2442"/>
      <c r="P290" s="2442"/>
      <c r="Q290" s="2442"/>
      <c r="R290" s="2442"/>
      <c r="S290" s="2442"/>
      <c r="T290" s="2442"/>
      <c r="U290" s="2442"/>
      <c r="V290" s="2442"/>
      <c r="W290" s="2442"/>
      <c r="X290" s="2442"/>
      <c r="Y290" s="2442"/>
      <c r="Z290" s="2442"/>
      <c r="AA290" s="2442"/>
      <c r="AB290" s="2442"/>
      <c r="AC290" s="2442"/>
      <c r="AD290" s="2442"/>
      <c r="AE290" s="2442"/>
      <c r="AF290" s="2442"/>
      <c r="AG290" s="2442"/>
      <c r="AH290" s="2442"/>
      <c r="AI290" s="2442"/>
      <c r="AJ290" s="2442"/>
      <c r="AK290" s="2442"/>
      <c r="AL290" s="2442"/>
      <c r="AM290" s="549"/>
      <c r="AN290" s="73"/>
    </row>
    <row r="291" spans="1:49">
      <c r="A291" s="549"/>
      <c r="B291" s="2442"/>
      <c r="C291" s="2442"/>
      <c r="D291" s="2442"/>
      <c r="E291" s="2442"/>
      <c r="F291" s="2442"/>
      <c r="G291" s="2442"/>
      <c r="H291" s="2442"/>
      <c r="I291" s="2442"/>
      <c r="J291" s="2442"/>
      <c r="K291" s="2442"/>
      <c r="L291" s="2442"/>
      <c r="M291" s="2442"/>
      <c r="N291" s="2442"/>
      <c r="O291" s="2442"/>
      <c r="P291" s="2442"/>
      <c r="Q291" s="2442"/>
      <c r="R291" s="2442"/>
      <c r="S291" s="2442"/>
      <c r="T291" s="2442"/>
      <c r="U291" s="2442"/>
      <c r="V291" s="2442"/>
      <c r="W291" s="2442"/>
      <c r="X291" s="2442"/>
      <c r="Y291" s="2442"/>
      <c r="Z291" s="2442"/>
      <c r="AA291" s="2442"/>
      <c r="AB291" s="2442"/>
      <c r="AC291" s="2442"/>
      <c r="AD291" s="2442"/>
      <c r="AE291" s="2442"/>
      <c r="AF291" s="2442"/>
      <c r="AG291" s="2442"/>
      <c r="AH291" s="2442"/>
      <c r="AI291" s="2442"/>
      <c r="AJ291" s="2442"/>
      <c r="AK291" s="2442"/>
      <c r="AL291" s="2442"/>
      <c r="AM291" s="549"/>
      <c r="AN291" s="73"/>
    </row>
    <row r="292" spans="1:49">
      <c r="A292" s="549"/>
      <c r="B292" s="2442"/>
      <c r="C292" s="2442"/>
      <c r="D292" s="2442"/>
      <c r="E292" s="2442"/>
      <c r="F292" s="2442"/>
      <c r="G292" s="2442"/>
      <c r="H292" s="2442"/>
      <c r="I292" s="2442"/>
      <c r="J292" s="2442"/>
      <c r="K292" s="2442"/>
      <c r="L292" s="2442"/>
      <c r="M292" s="2442"/>
      <c r="N292" s="2442"/>
      <c r="O292" s="2442"/>
      <c r="P292" s="2442"/>
      <c r="Q292" s="2442"/>
      <c r="R292" s="2442"/>
      <c r="S292" s="2442"/>
      <c r="T292" s="2442"/>
      <c r="U292" s="2442"/>
      <c r="V292" s="2442"/>
      <c r="W292" s="2442"/>
      <c r="X292" s="2442"/>
      <c r="Y292" s="2442"/>
      <c r="Z292" s="2442"/>
      <c r="AA292" s="2442"/>
      <c r="AB292" s="2442"/>
      <c r="AC292" s="2442"/>
      <c r="AD292" s="2442"/>
      <c r="AE292" s="2442"/>
      <c r="AF292" s="2442"/>
      <c r="AG292" s="2442"/>
      <c r="AH292" s="2442"/>
      <c r="AI292" s="2442"/>
      <c r="AJ292" s="2442"/>
      <c r="AK292" s="2442"/>
      <c r="AL292" s="2442"/>
      <c r="AM292" s="549"/>
      <c r="AN292" s="73"/>
    </row>
    <row r="293" spans="1:49">
      <c r="A293" s="549"/>
      <c r="B293" s="2442"/>
      <c r="C293" s="2442"/>
      <c r="D293" s="2442"/>
      <c r="E293" s="2442"/>
      <c r="F293" s="2442"/>
      <c r="G293" s="2442"/>
      <c r="H293" s="2442"/>
      <c r="I293" s="2442"/>
      <c r="J293" s="2442"/>
      <c r="K293" s="2442"/>
      <c r="L293" s="2442"/>
      <c r="M293" s="2442"/>
      <c r="N293" s="2442"/>
      <c r="O293" s="2442"/>
      <c r="P293" s="2442"/>
      <c r="Q293" s="2442"/>
      <c r="R293" s="2442"/>
      <c r="S293" s="2442"/>
      <c r="T293" s="2442"/>
      <c r="U293" s="2442"/>
      <c r="V293" s="2442"/>
      <c r="W293" s="2442"/>
      <c r="X293" s="2442"/>
      <c r="Y293" s="2442"/>
      <c r="Z293" s="2442"/>
      <c r="AA293" s="2442"/>
      <c r="AB293" s="2442"/>
      <c r="AC293" s="2442"/>
      <c r="AD293" s="2442"/>
      <c r="AE293" s="2442"/>
      <c r="AF293" s="2442"/>
      <c r="AG293" s="2442"/>
      <c r="AH293" s="2442"/>
      <c r="AI293" s="2442"/>
      <c r="AJ293" s="2442"/>
      <c r="AK293" s="2442"/>
      <c r="AL293" s="2442"/>
      <c r="AM293" s="549"/>
      <c r="AN293" s="73"/>
    </row>
    <row r="294" spans="1:49">
      <c r="A294" s="549"/>
      <c r="B294" s="2442"/>
      <c r="C294" s="2442"/>
      <c r="D294" s="2442"/>
      <c r="E294" s="2442"/>
      <c r="F294" s="2442"/>
      <c r="G294" s="2442"/>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2"/>
      <c r="AE294" s="2442"/>
      <c r="AF294" s="2442"/>
      <c r="AG294" s="2442"/>
      <c r="AH294" s="2442"/>
      <c r="AI294" s="2442"/>
      <c r="AJ294" s="2442"/>
      <c r="AK294" s="2442"/>
      <c r="AL294" s="2442"/>
      <c r="AM294" s="549"/>
      <c r="AN294" s="73"/>
    </row>
    <row r="295" spans="1:49">
      <c r="A295" s="549"/>
      <c r="B295" s="2442"/>
      <c r="C295" s="2442"/>
      <c r="D295" s="2442"/>
      <c r="E295" s="2442"/>
      <c r="F295" s="2442"/>
      <c r="G295" s="2442"/>
      <c r="H295" s="2442"/>
      <c r="I295" s="2442"/>
      <c r="J295" s="2442"/>
      <c r="K295" s="2442"/>
      <c r="L295" s="2442"/>
      <c r="M295" s="2442"/>
      <c r="N295" s="2442"/>
      <c r="O295" s="2442"/>
      <c r="P295" s="2442"/>
      <c r="Q295" s="2442"/>
      <c r="R295" s="2442"/>
      <c r="S295" s="2442"/>
      <c r="T295" s="2442"/>
      <c r="U295" s="2442"/>
      <c r="V295" s="2442"/>
      <c r="W295" s="2442"/>
      <c r="X295" s="2442"/>
      <c r="Y295" s="2442"/>
      <c r="Z295" s="2442"/>
      <c r="AA295" s="2442"/>
      <c r="AB295" s="2442"/>
      <c r="AC295" s="2442"/>
      <c r="AD295" s="2442"/>
      <c r="AE295" s="2442"/>
      <c r="AF295" s="2442"/>
      <c r="AG295" s="2442"/>
      <c r="AH295" s="2442"/>
      <c r="AI295" s="2442"/>
      <c r="AJ295" s="2442"/>
      <c r="AK295" s="2442"/>
      <c r="AL295" s="2442"/>
      <c r="AM295" s="549"/>
      <c r="AN295" s="73"/>
    </row>
    <row r="296" spans="1:49">
      <c r="A296" s="549"/>
      <c r="B296" s="2442"/>
      <c r="C296" s="2442"/>
      <c r="D296" s="2442"/>
      <c r="E296" s="2442"/>
      <c r="F296" s="2442"/>
      <c r="G296" s="2442"/>
      <c r="H296" s="2442"/>
      <c r="I296" s="2442"/>
      <c r="J296" s="2442"/>
      <c r="K296" s="2442"/>
      <c r="L296" s="2442"/>
      <c r="M296" s="2442"/>
      <c r="N296" s="2442"/>
      <c r="O296" s="2442"/>
      <c r="P296" s="2442"/>
      <c r="Q296" s="2442"/>
      <c r="R296" s="2442"/>
      <c r="S296" s="2442"/>
      <c r="T296" s="2442"/>
      <c r="U296" s="2442"/>
      <c r="V296" s="2442"/>
      <c r="W296" s="2442"/>
      <c r="X296" s="2442"/>
      <c r="Y296" s="2442"/>
      <c r="Z296" s="2442"/>
      <c r="AA296" s="2442"/>
      <c r="AB296" s="2442"/>
      <c r="AC296" s="2442"/>
      <c r="AD296" s="2442"/>
      <c r="AE296" s="2442"/>
      <c r="AF296" s="2442"/>
      <c r="AG296" s="2442"/>
      <c r="AH296" s="2442"/>
      <c r="AI296" s="2442"/>
      <c r="AJ296" s="2442"/>
      <c r="AK296" s="2442"/>
      <c r="AL296" s="2442"/>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62">
        <f>IF($C$279="yes",10,0)</f>
        <v>10</v>
      </c>
      <c r="AL298" s="2562"/>
      <c r="AM298" s="256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88" t="s">
        <v>1374</v>
      </c>
      <c r="B305" s="1588"/>
      <c r="C305" s="2399" t="s">
        <v>591</v>
      </c>
      <c r="D305" s="2413"/>
      <c r="E305" s="546"/>
      <c r="F305" s="2564" t="s">
        <v>1375</v>
      </c>
      <c r="G305" s="2565"/>
      <c r="H305" s="2565"/>
      <c r="I305" s="2565"/>
      <c r="J305" s="2565"/>
      <c r="K305" s="2565"/>
      <c r="L305" s="2565"/>
      <c r="M305" s="2565"/>
      <c r="N305" s="2565"/>
      <c r="O305" s="2565"/>
      <c r="P305" s="2565"/>
      <c r="Q305" s="2565"/>
      <c r="R305" s="2565"/>
      <c r="S305" s="2565"/>
      <c r="T305" s="2565"/>
      <c r="U305" s="2565"/>
      <c r="V305" s="2565"/>
      <c r="W305" s="2565"/>
      <c r="X305" s="2565"/>
      <c r="Y305" s="2565"/>
      <c r="Z305" s="2565"/>
      <c r="AA305" s="2565"/>
      <c r="AB305" s="2565"/>
      <c r="AC305" s="2565"/>
      <c r="AD305" s="2566"/>
      <c r="AE305" s="640"/>
      <c r="AF305" s="549"/>
      <c r="AG305" s="2567" t="s">
        <v>1981</v>
      </c>
      <c r="AH305" s="2567"/>
      <c r="AI305" s="2567"/>
      <c r="AJ305" s="2567"/>
      <c r="AK305" s="2567"/>
      <c r="AL305" s="549"/>
      <c r="AM305" s="549"/>
      <c r="AN305" s="73"/>
      <c r="AO305" s="14"/>
      <c r="AP305" s="30"/>
      <c r="AS305" s="568"/>
      <c r="AT305" s="568"/>
      <c r="AU305" s="568"/>
      <c r="AV305" s="32"/>
      <c r="AW305" s="32"/>
    </row>
    <row r="306" spans="1:49">
      <c r="A306" s="638"/>
      <c r="B306" s="594"/>
      <c r="F306" s="2433"/>
      <c r="G306" s="2391"/>
      <c r="H306" s="2391"/>
      <c r="I306" s="2391"/>
      <c r="J306" s="2391"/>
      <c r="K306" s="2391"/>
      <c r="L306" s="2391"/>
      <c r="M306" s="2391"/>
      <c r="N306" s="2391"/>
      <c r="O306" s="2391"/>
      <c r="P306" s="2391"/>
      <c r="Q306" s="2391"/>
      <c r="R306" s="2391"/>
      <c r="S306" s="2391"/>
      <c r="T306" s="2391"/>
      <c r="U306" s="2391"/>
      <c r="V306" s="2391"/>
      <c r="W306" s="2391"/>
      <c r="X306" s="2391"/>
      <c r="Y306" s="2391"/>
      <c r="Z306" s="2391"/>
      <c r="AA306" s="2391"/>
      <c r="AB306" s="2391"/>
      <c r="AC306" s="2391"/>
      <c r="AD306" s="2434"/>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3"/>
      <c r="G307" s="2391"/>
      <c r="H307" s="2391"/>
      <c r="I307" s="2391"/>
      <c r="J307" s="2391"/>
      <c r="K307" s="2391"/>
      <c r="L307" s="2391"/>
      <c r="M307" s="2391"/>
      <c r="N307" s="2391"/>
      <c r="O307" s="2391"/>
      <c r="P307" s="2391"/>
      <c r="Q307" s="2391"/>
      <c r="R307" s="2391"/>
      <c r="S307" s="2391"/>
      <c r="T307" s="2391"/>
      <c r="U307" s="2391"/>
      <c r="V307" s="2391"/>
      <c r="W307" s="2391"/>
      <c r="X307" s="2391"/>
      <c r="Y307" s="2391"/>
      <c r="Z307" s="2391"/>
      <c r="AA307" s="2391"/>
      <c r="AB307" s="2391"/>
      <c r="AC307" s="2391"/>
      <c r="AD307" s="2434"/>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3" t="s">
        <v>1986</v>
      </c>
      <c r="G308" s="2391"/>
      <c r="H308" s="2391"/>
      <c r="I308" s="2391"/>
      <c r="J308" s="2391"/>
      <c r="K308" s="2391"/>
      <c r="L308" s="2391"/>
      <c r="M308" s="2391"/>
      <c r="N308" s="2391"/>
      <c r="O308" s="2391"/>
      <c r="P308" s="2391"/>
      <c r="Q308" s="2391"/>
      <c r="R308" s="2391"/>
      <c r="S308" s="2391"/>
      <c r="T308" s="2391"/>
      <c r="U308" s="2391"/>
      <c r="V308" s="2391"/>
      <c r="W308" s="2391"/>
      <c r="X308" s="2391"/>
      <c r="Y308" s="2391"/>
      <c r="Z308" s="2391"/>
      <c r="AA308" s="2391"/>
      <c r="AB308" s="2391"/>
      <c r="AC308" s="2391"/>
      <c r="AD308" s="2434"/>
      <c r="AE308" s="640"/>
      <c r="AF308" s="550"/>
      <c r="AH308" s="550"/>
      <c r="AI308" s="550"/>
      <c r="AJ308" s="549"/>
      <c r="AK308" s="549"/>
      <c r="AL308" s="549"/>
      <c r="AM308" s="549"/>
      <c r="AN308" s="73"/>
      <c r="AO308" s="14"/>
      <c r="AP308" s="609">
        <f>MAX(AP306,AP307)</f>
        <v>0</v>
      </c>
      <c r="AQ308" s="572" t="s">
        <v>1310</v>
      </c>
      <c r="AS308" s="568"/>
      <c r="AT308" s="568"/>
      <c r="AU308" s="568"/>
      <c r="AV308" s="32"/>
      <c r="AW308" s="32"/>
    </row>
    <row r="309" spans="1:49">
      <c r="A309" s="638"/>
      <c r="B309" s="594"/>
      <c r="F309" s="2433"/>
      <c r="G309" s="2391"/>
      <c r="H309" s="2391"/>
      <c r="I309" s="2391"/>
      <c r="J309" s="2391"/>
      <c r="K309" s="2391"/>
      <c r="L309" s="2391"/>
      <c r="M309" s="2391"/>
      <c r="N309" s="2391"/>
      <c r="O309" s="2391"/>
      <c r="P309" s="2391"/>
      <c r="Q309" s="2391"/>
      <c r="R309" s="2391"/>
      <c r="S309" s="2391"/>
      <c r="T309" s="2391"/>
      <c r="U309" s="2391"/>
      <c r="V309" s="2391"/>
      <c r="W309" s="2391"/>
      <c r="X309" s="2391"/>
      <c r="Y309" s="2391"/>
      <c r="Z309" s="2391"/>
      <c r="AA309" s="2391"/>
      <c r="AB309" s="2391"/>
      <c r="AC309" s="2391"/>
      <c r="AD309" s="243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3" t="s">
        <v>1376</v>
      </c>
      <c r="G310" s="2391"/>
      <c r="H310" s="2391"/>
      <c r="I310" s="2391"/>
      <c r="J310" s="2391"/>
      <c r="K310" s="2391"/>
      <c r="L310" s="2391"/>
      <c r="M310" s="2391"/>
      <c r="N310" s="2391"/>
      <c r="O310" s="2391"/>
      <c r="P310" s="2391"/>
      <c r="Q310" s="2391"/>
      <c r="R310" s="2391"/>
      <c r="S310" s="2391"/>
      <c r="T310" s="2391"/>
      <c r="U310" s="2391"/>
      <c r="V310" s="2391"/>
      <c r="W310" s="2391"/>
      <c r="X310" s="2391"/>
      <c r="Y310" s="2391"/>
      <c r="Z310" s="2391"/>
      <c r="AA310" s="2391"/>
      <c r="AB310" s="2391"/>
      <c r="AC310" s="2391"/>
      <c r="AD310" s="243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3"/>
      <c r="G311" s="2391"/>
      <c r="H311" s="2391"/>
      <c r="I311" s="2391"/>
      <c r="J311" s="2391"/>
      <c r="K311" s="2391"/>
      <c r="L311" s="2391"/>
      <c r="M311" s="2391"/>
      <c r="N311" s="2391"/>
      <c r="O311" s="2391"/>
      <c r="P311" s="2391"/>
      <c r="Q311" s="2391"/>
      <c r="R311" s="2391"/>
      <c r="S311" s="2391"/>
      <c r="T311" s="2391"/>
      <c r="U311" s="2391"/>
      <c r="V311" s="2391"/>
      <c r="W311" s="2391"/>
      <c r="X311" s="2391"/>
      <c r="Y311" s="2391"/>
      <c r="Z311" s="2391"/>
      <c r="AA311" s="2391"/>
      <c r="AB311" s="2391"/>
      <c r="AC311" s="2391"/>
      <c r="AD311" s="243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3" t="s">
        <v>1377</v>
      </c>
      <c r="G312" s="2391"/>
      <c r="H312" s="2391"/>
      <c r="I312" s="2391"/>
      <c r="J312" s="2391"/>
      <c r="K312" s="2391"/>
      <c r="L312" s="2391"/>
      <c r="M312" s="2391"/>
      <c r="N312" s="2391"/>
      <c r="O312" s="2391"/>
      <c r="P312" s="2391"/>
      <c r="Q312" s="2391"/>
      <c r="R312" s="2391"/>
      <c r="S312" s="2391"/>
      <c r="T312" s="2391"/>
      <c r="U312" s="2391"/>
      <c r="V312" s="2391"/>
      <c r="W312" s="2391"/>
      <c r="X312" s="2391"/>
      <c r="Y312" s="2391"/>
      <c r="Z312" s="2391"/>
      <c r="AA312" s="2391"/>
      <c r="AB312" s="2391"/>
      <c r="AC312" s="2391"/>
      <c r="AD312" s="243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5"/>
      <c r="G313" s="2436"/>
      <c r="H313" s="2436"/>
      <c r="I313" s="2436"/>
      <c r="J313" s="2436"/>
      <c r="K313" s="2436"/>
      <c r="L313" s="2436"/>
      <c r="M313" s="2436"/>
      <c r="N313" s="2436"/>
      <c r="O313" s="2436"/>
      <c r="P313" s="2436"/>
      <c r="Q313" s="2436"/>
      <c r="R313" s="2436"/>
      <c r="S313" s="2436"/>
      <c r="T313" s="2436"/>
      <c r="U313" s="2436"/>
      <c r="V313" s="2436"/>
      <c r="W313" s="2436"/>
      <c r="X313" s="2436"/>
      <c r="Y313" s="2436"/>
      <c r="Z313" s="2436"/>
      <c r="AA313" s="2436"/>
      <c r="AB313" s="2436"/>
      <c r="AC313" s="2436"/>
      <c r="AD313" s="256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88" t="s">
        <v>1378</v>
      </c>
      <c r="B315" s="1588"/>
      <c r="C315" s="2413" t="s">
        <v>591</v>
      </c>
      <c r="D315" s="2413"/>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3" t="s">
        <v>1982</v>
      </c>
      <c r="G316" s="2391"/>
      <c r="H316" s="2391"/>
      <c r="I316" s="2391"/>
      <c r="J316" s="2391"/>
      <c r="K316" s="2391"/>
      <c r="L316" s="2391"/>
      <c r="M316" s="2391"/>
      <c r="N316" s="2391"/>
      <c r="O316" s="2391"/>
      <c r="P316" s="2391"/>
      <c r="Q316" s="2391"/>
      <c r="R316" s="2391"/>
      <c r="S316" s="2391"/>
      <c r="T316" s="2391"/>
      <c r="U316" s="2391"/>
      <c r="V316" s="2391"/>
      <c r="W316" s="2391"/>
      <c r="X316" s="2391"/>
      <c r="Y316" s="2391"/>
      <c r="Z316" s="2391"/>
      <c r="AA316" s="2391"/>
      <c r="AB316" s="2391"/>
      <c r="AC316" s="2391"/>
      <c r="AD316" s="2434"/>
      <c r="AE316" s="550"/>
      <c r="AF316" s="550"/>
      <c r="AG316" s="550"/>
      <c r="AH316" s="550"/>
      <c r="AI316" s="550"/>
      <c r="AJ316" s="549"/>
      <c r="AK316" s="549"/>
      <c r="AL316" s="549"/>
      <c r="AM316" s="549"/>
      <c r="AR316" s="644"/>
    </row>
    <row r="317" spans="1:49" ht="15" customHeight="1">
      <c r="A317" s="549"/>
      <c r="B317" s="550"/>
      <c r="C317" s="549"/>
      <c r="D317" s="550"/>
      <c r="E317" s="549"/>
      <c r="F317" s="2433"/>
      <c r="G317" s="2391"/>
      <c r="H317" s="2391"/>
      <c r="I317" s="2391"/>
      <c r="J317" s="2391"/>
      <c r="K317" s="2391"/>
      <c r="L317" s="2391"/>
      <c r="M317" s="2391"/>
      <c r="N317" s="2391"/>
      <c r="O317" s="2391"/>
      <c r="P317" s="2391"/>
      <c r="Q317" s="2391"/>
      <c r="R317" s="2391"/>
      <c r="S317" s="2391"/>
      <c r="T317" s="2391"/>
      <c r="U317" s="2391"/>
      <c r="V317" s="2391"/>
      <c r="W317" s="2391"/>
      <c r="X317" s="2391"/>
      <c r="Y317" s="2391"/>
      <c r="Z317" s="2391"/>
      <c r="AA317" s="2391"/>
      <c r="AB317" s="2391"/>
      <c r="AC317" s="2391"/>
      <c r="AD317" s="2434"/>
      <c r="AE317" s="550"/>
      <c r="AF317" s="550"/>
      <c r="AG317" s="550"/>
      <c r="AH317" s="550"/>
      <c r="AI317" s="550"/>
      <c r="AJ317" s="549"/>
      <c r="AK317" s="549"/>
      <c r="AL317" s="549"/>
      <c r="AM317" s="549"/>
      <c r="AR317" s="644"/>
    </row>
    <row r="318" spans="1:49">
      <c r="A318" s="549"/>
      <c r="B318" s="550"/>
      <c r="C318" s="549"/>
      <c r="D318" s="550"/>
      <c r="E318" s="549"/>
      <c r="F318" s="2433"/>
      <c r="G318" s="2391"/>
      <c r="H318" s="2391"/>
      <c r="I318" s="2391"/>
      <c r="J318" s="2391"/>
      <c r="K318" s="2391"/>
      <c r="L318" s="2391"/>
      <c r="M318" s="2391"/>
      <c r="N318" s="2391"/>
      <c r="O318" s="2391"/>
      <c r="P318" s="2391"/>
      <c r="Q318" s="2391"/>
      <c r="R318" s="2391"/>
      <c r="S318" s="2391"/>
      <c r="T318" s="2391"/>
      <c r="U318" s="2391"/>
      <c r="V318" s="2391"/>
      <c r="W318" s="2391"/>
      <c r="X318" s="2391"/>
      <c r="Y318" s="2391"/>
      <c r="Z318" s="2391"/>
      <c r="AA318" s="2391"/>
      <c r="AB318" s="2391"/>
      <c r="AC318" s="2391"/>
      <c r="AD318" s="243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56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88" t="s">
        <v>1381</v>
      </c>
      <c r="B323" s="1588"/>
      <c r="C323" s="2413" t="s">
        <v>591</v>
      </c>
      <c r="D323" s="2413"/>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3" t="s">
        <v>1987</v>
      </c>
      <c r="G324" s="2391"/>
      <c r="H324" s="2391"/>
      <c r="I324" s="2391"/>
      <c r="J324" s="2391"/>
      <c r="K324" s="2391"/>
      <c r="L324" s="2391"/>
      <c r="M324" s="2391"/>
      <c r="N324" s="2391"/>
      <c r="O324" s="2391"/>
      <c r="P324" s="2391"/>
      <c r="Q324" s="2391"/>
      <c r="R324" s="2391"/>
      <c r="S324" s="2391"/>
      <c r="T324" s="2391"/>
      <c r="U324" s="2391"/>
      <c r="V324" s="2391"/>
      <c r="W324" s="2391"/>
      <c r="X324" s="2391"/>
      <c r="Y324" s="2391"/>
      <c r="Z324" s="2391"/>
      <c r="AA324" s="2391"/>
      <c r="AB324" s="2391"/>
      <c r="AC324" s="2391"/>
      <c r="AD324" s="2434"/>
      <c r="AE324" s="550"/>
      <c r="AF324" s="550"/>
      <c r="AG324" s="539"/>
      <c r="AH324" s="550"/>
      <c r="AI324" s="550"/>
      <c r="AJ324" s="549"/>
      <c r="AK324" s="549"/>
      <c r="AL324" s="549"/>
      <c r="AM324" s="549"/>
      <c r="AN324" s="73"/>
      <c r="AO324" s="14"/>
      <c r="AP324" s="555" t="s">
        <v>1184</v>
      </c>
    </row>
    <row r="325" spans="1:44" hidden="1">
      <c r="F325" s="2433"/>
      <c r="G325" s="2391"/>
      <c r="H325" s="2391"/>
      <c r="I325" s="2391"/>
      <c r="J325" s="2391"/>
      <c r="K325" s="2391"/>
      <c r="L325" s="2391"/>
      <c r="M325" s="2391"/>
      <c r="N325" s="2391"/>
      <c r="O325" s="2391"/>
      <c r="P325" s="2391"/>
      <c r="Q325" s="2391"/>
      <c r="R325" s="2391"/>
      <c r="S325" s="2391"/>
      <c r="T325" s="2391"/>
      <c r="U325" s="2391"/>
      <c r="V325" s="2391"/>
      <c r="W325" s="2391"/>
      <c r="X325" s="2391"/>
      <c r="Y325" s="2391"/>
      <c r="Z325" s="2391"/>
      <c r="AA325" s="2391"/>
      <c r="AB325" s="2391"/>
      <c r="AC325" s="2391"/>
      <c r="AD325" s="2434"/>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1" t="s">
        <v>1184</v>
      </c>
      <c r="G329" s="2542"/>
      <c r="H329" s="2542"/>
      <c r="I329" s="2542"/>
      <c r="J329" s="2542"/>
      <c r="K329" s="2542"/>
      <c r="L329" s="2542"/>
      <c r="M329" s="2542"/>
      <c r="N329" s="2542"/>
      <c r="O329" s="2542"/>
      <c r="P329" s="2542"/>
      <c r="Q329" s="2542"/>
      <c r="R329" s="2542"/>
      <c r="S329" s="2542"/>
      <c r="T329" s="2542"/>
      <c r="U329" s="2542"/>
      <c r="V329" s="2542"/>
      <c r="W329" s="2542"/>
      <c r="X329" s="2542"/>
      <c r="Y329" s="2542"/>
      <c r="Z329" s="2542"/>
      <c r="AA329" s="2542"/>
      <c r="AB329" s="2542"/>
      <c r="AC329" s="2542"/>
      <c r="AD329" s="2543"/>
      <c r="AE329" s="640"/>
      <c r="AF329" s="640"/>
      <c r="AG329" s="640"/>
      <c r="AH329" s="640"/>
      <c r="AI329" s="640"/>
      <c r="AJ329" s="640"/>
      <c r="AK329" s="640"/>
      <c r="AL329" s="549"/>
      <c r="AM329" s="549"/>
      <c r="AN329" s="73"/>
      <c r="AO329" s="14"/>
      <c r="AP329" s="30"/>
    </row>
    <row r="330" spans="1:44" hidden="1">
      <c r="A330" s="549"/>
      <c r="B330" s="550"/>
      <c r="C330" s="726"/>
      <c r="D330" s="726"/>
      <c r="E330" s="546"/>
      <c r="F330" s="2541"/>
      <c r="G330" s="2542"/>
      <c r="H330" s="2542"/>
      <c r="I330" s="2542"/>
      <c r="J330" s="2542"/>
      <c r="K330" s="2542"/>
      <c r="L330" s="2542"/>
      <c r="M330" s="2542"/>
      <c r="N330" s="2542"/>
      <c r="O330" s="2542"/>
      <c r="P330" s="2542"/>
      <c r="Q330" s="2542"/>
      <c r="R330" s="2542"/>
      <c r="S330" s="2542"/>
      <c r="T330" s="2542"/>
      <c r="U330" s="2542"/>
      <c r="V330" s="2542"/>
      <c r="W330" s="2542"/>
      <c r="X330" s="2542"/>
      <c r="Y330" s="2542"/>
      <c r="Z330" s="2542"/>
      <c r="AA330" s="2542"/>
      <c r="AB330" s="2542"/>
      <c r="AC330" s="2542"/>
      <c r="AD330" s="2543"/>
      <c r="AE330" s="550"/>
      <c r="AF330" s="550"/>
      <c r="AG330" s="539"/>
      <c r="AH330" s="550"/>
      <c r="AI330" s="550"/>
      <c r="AJ330" s="549"/>
      <c r="AK330" s="549"/>
      <c r="AL330" s="549"/>
      <c r="AM330" s="549"/>
      <c r="AN330" s="73"/>
      <c r="AO330" s="14"/>
      <c r="AP330" s="30"/>
    </row>
    <row r="331" spans="1:44" hidden="1">
      <c r="A331" s="549"/>
      <c r="B331" s="550"/>
      <c r="C331" s="726"/>
      <c r="D331" s="726"/>
      <c r="E331" s="546"/>
      <c r="F331" s="2541"/>
      <c r="G331" s="2542"/>
      <c r="H331" s="2542"/>
      <c r="I331" s="2542"/>
      <c r="J331" s="2542"/>
      <c r="K331" s="2542"/>
      <c r="L331" s="2542"/>
      <c r="M331" s="2542"/>
      <c r="N331" s="2542"/>
      <c r="O331" s="2542"/>
      <c r="P331" s="2542"/>
      <c r="Q331" s="2542"/>
      <c r="R331" s="2542"/>
      <c r="S331" s="2542"/>
      <c r="T331" s="2542"/>
      <c r="U331" s="2542"/>
      <c r="V331" s="2542"/>
      <c r="W331" s="2542"/>
      <c r="X331" s="2542"/>
      <c r="Y331" s="2542"/>
      <c r="Z331" s="2542"/>
      <c r="AA331" s="2542"/>
      <c r="AB331" s="2542"/>
      <c r="AC331" s="2542"/>
      <c r="AD331" s="2543"/>
      <c r="AE331" s="550"/>
      <c r="AF331" s="550"/>
      <c r="AG331" s="539"/>
      <c r="AH331" s="550"/>
      <c r="AI331" s="550"/>
      <c r="AJ331" s="549"/>
      <c r="AK331" s="549"/>
      <c r="AL331" s="549"/>
      <c r="AM331" s="549"/>
      <c r="AN331" s="73"/>
      <c r="AO331" s="14"/>
      <c r="AP331" s="30"/>
    </row>
    <row r="332" spans="1:44" hidden="1">
      <c r="A332" s="549"/>
      <c r="B332" s="550"/>
      <c r="C332" s="726"/>
      <c r="D332" s="726"/>
      <c r="E332" s="546"/>
      <c r="F332" s="2541"/>
      <c r="G332" s="2542"/>
      <c r="H332" s="2542"/>
      <c r="I332" s="2542"/>
      <c r="J332" s="2542"/>
      <c r="K332" s="2542"/>
      <c r="L332" s="2542"/>
      <c r="M332" s="2542"/>
      <c r="N332" s="2542"/>
      <c r="O332" s="2542"/>
      <c r="P332" s="2542"/>
      <c r="Q332" s="2542"/>
      <c r="R332" s="2542"/>
      <c r="S332" s="2542"/>
      <c r="T332" s="2542"/>
      <c r="U332" s="2542"/>
      <c r="V332" s="2542"/>
      <c r="W332" s="2542"/>
      <c r="X332" s="2542"/>
      <c r="Y332" s="2542"/>
      <c r="Z332" s="2542"/>
      <c r="AA332" s="2542"/>
      <c r="AB332" s="2542"/>
      <c r="AC332" s="2542"/>
      <c r="AD332" s="2543"/>
      <c r="AE332" s="550"/>
      <c r="AF332" s="550"/>
      <c r="AG332" s="539"/>
      <c r="AH332" s="550"/>
      <c r="AI332" s="550"/>
      <c r="AJ332" s="549"/>
      <c r="AK332" s="549"/>
      <c r="AL332" s="549"/>
      <c r="AM332" s="549"/>
      <c r="AN332" s="73"/>
      <c r="AO332" s="14"/>
      <c r="AP332" s="30"/>
    </row>
    <row r="333" spans="1:44" hidden="1">
      <c r="A333" s="549"/>
      <c r="B333" s="550"/>
      <c r="C333" s="726"/>
      <c r="D333" s="726"/>
      <c r="E333" s="546"/>
      <c r="F333" s="2544"/>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7" t="s">
        <v>1184</v>
      </c>
      <c r="J337" s="2547"/>
      <c r="K337" s="2547"/>
      <c r="L337" s="2547"/>
      <c r="M337" s="2547"/>
      <c r="N337" s="2547"/>
      <c r="O337" s="2547"/>
      <c r="P337" s="2547"/>
      <c r="Q337" s="2547"/>
      <c r="R337" s="2547"/>
      <c r="S337" s="2547"/>
      <c r="T337" s="2547"/>
      <c r="U337" s="2547"/>
      <c r="V337" s="2547"/>
      <c r="W337" s="2547"/>
      <c r="X337" s="2547"/>
      <c r="Y337" s="2547"/>
      <c r="Z337" s="2547"/>
      <c r="AA337" s="2547"/>
      <c r="AB337" s="2547"/>
      <c r="AC337" s="2547"/>
      <c r="AD337" s="2548"/>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7"/>
      <c r="J338" s="2547"/>
      <c r="K338" s="2547"/>
      <c r="L338" s="2547"/>
      <c r="M338" s="2547"/>
      <c r="N338" s="2547"/>
      <c r="O338" s="2547"/>
      <c r="P338" s="2547"/>
      <c r="Q338" s="2547"/>
      <c r="R338" s="2547"/>
      <c r="S338" s="2547"/>
      <c r="T338" s="2547"/>
      <c r="U338" s="2547"/>
      <c r="V338" s="2547"/>
      <c r="W338" s="2547"/>
      <c r="X338" s="2547"/>
      <c r="Y338" s="2547"/>
      <c r="Z338" s="2547"/>
      <c r="AA338" s="2547"/>
      <c r="AB338" s="2547"/>
      <c r="AC338" s="2547"/>
      <c r="AD338" s="2548"/>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7"/>
      <c r="J339" s="2547"/>
      <c r="K339" s="2547"/>
      <c r="L339" s="2547"/>
      <c r="M339" s="2547"/>
      <c r="N339" s="2547"/>
      <c r="O339" s="2547"/>
      <c r="P339" s="2547"/>
      <c r="Q339" s="2547"/>
      <c r="R339" s="2547"/>
      <c r="S339" s="2547"/>
      <c r="T339" s="2547"/>
      <c r="U339" s="2547"/>
      <c r="V339" s="2547"/>
      <c r="W339" s="2547"/>
      <c r="X339" s="2547"/>
      <c r="Y339" s="2547"/>
      <c r="Z339" s="2547"/>
      <c r="AA339" s="2547"/>
      <c r="AB339" s="2547"/>
      <c r="AC339" s="2547"/>
      <c r="AD339" s="2548"/>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9"/>
      <c r="J340" s="2549"/>
      <c r="K340" s="2549"/>
      <c r="L340" s="2549"/>
      <c r="M340" s="2549"/>
      <c r="N340" s="2549"/>
      <c r="O340" s="2549"/>
      <c r="P340" s="2549"/>
      <c r="Q340" s="2549"/>
      <c r="R340" s="2549"/>
      <c r="S340" s="2549"/>
      <c r="T340" s="2549"/>
      <c r="U340" s="2549"/>
      <c r="V340" s="2549"/>
      <c r="W340" s="2549"/>
      <c r="X340" s="2549"/>
      <c r="Y340" s="2549"/>
      <c r="Z340" s="2549"/>
      <c r="AA340" s="2549"/>
      <c r="AB340" s="2549"/>
      <c r="AC340" s="2549"/>
      <c r="AD340" s="2550"/>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7" t="s">
        <v>1184</v>
      </c>
      <c r="J342" s="2547"/>
      <c r="K342" s="2547"/>
      <c r="L342" s="2547"/>
      <c r="M342" s="2547"/>
      <c r="N342" s="2547"/>
      <c r="O342" s="2547"/>
      <c r="P342" s="2547"/>
      <c r="Q342" s="2547"/>
      <c r="R342" s="2547"/>
      <c r="S342" s="2547"/>
      <c r="T342" s="2547"/>
      <c r="U342" s="2547"/>
      <c r="V342" s="2547"/>
      <c r="W342" s="2547"/>
      <c r="X342" s="2547"/>
      <c r="Y342" s="2547"/>
      <c r="Z342" s="2547"/>
      <c r="AA342" s="2547"/>
      <c r="AB342" s="2547"/>
      <c r="AC342" s="2547"/>
      <c r="AD342" s="254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7"/>
      <c r="J343" s="2547"/>
      <c r="K343" s="2547"/>
      <c r="L343" s="2547"/>
      <c r="M343" s="2547"/>
      <c r="N343" s="2547"/>
      <c r="O343" s="2547"/>
      <c r="P343" s="2547"/>
      <c r="Q343" s="2547"/>
      <c r="R343" s="2547"/>
      <c r="S343" s="2547"/>
      <c r="T343" s="2547"/>
      <c r="U343" s="2547"/>
      <c r="V343" s="2547"/>
      <c r="W343" s="2547"/>
      <c r="X343" s="2547"/>
      <c r="Y343" s="2547"/>
      <c r="Z343" s="2547"/>
      <c r="AA343" s="2547"/>
      <c r="AB343" s="2547"/>
      <c r="AC343" s="2547"/>
      <c r="AD343" s="2548"/>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9"/>
      <c r="J344" s="2549"/>
      <c r="K344" s="2549"/>
      <c r="L344" s="2549"/>
      <c r="M344" s="2549"/>
      <c r="N344" s="2549"/>
      <c r="O344" s="2549"/>
      <c r="P344" s="2549"/>
      <c r="Q344" s="2549"/>
      <c r="R344" s="2549"/>
      <c r="S344" s="2549"/>
      <c r="T344" s="2549"/>
      <c r="U344" s="2549"/>
      <c r="V344" s="2549"/>
      <c r="W344" s="2549"/>
      <c r="X344" s="2549"/>
      <c r="Y344" s="2549"/>
      <c r="Z344" s="2549"/>
      <c r="AA344" s="2549"/>
      <c r="AB344" s="2549"/>
      <c r="AC344" s="2549"/>
      <c r="AD344" s="2550"/>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588" t="s">
        <v>1384</v>
      </c>
      <c r="B346" s="1588"/>
      <c r="C346" s="2413" t="s">
        <v>591</v>
      </c>
      <c r="D346" s="2413"/>
      <c r="E346" s="546"/>
      <c r="F346" s="2454" t="s">
        <v>1988</v>
      </c>
      <c r="G346" s="2455"/>
      <c r="H346" s="2455"/>
      <c r="I346" s="2455"/>
      <c r="J346" s="2455"/>
      <c r="K346" s="2455"/>
      <c r="L346" s="2455"/>
      <c r="M346" s="2455"/>
      <c r="N346" s="2455"/>
      <c r="O346" s="2455"/>
      <c r="P346" s="2455"/>
      <c r="Q346" s="2455"/>
      <c r="R346" s="2455"/>
      <c r="S346" s="2455"/>
      <c r="T346" s="2455"/>
      <c r="U346" s="2455"/>
      <c r="V346" s="2455"/>
      <c r="W346" s="2455"/>
      <c r="X346" s="2455"/>
      <c r="Y346" s="2455"/>
      <c r="Z346" s="2455"/>
      <c r="AA346" s="2455"/>
      <c r="AB346" s="2455"/>
      <c r="AC346" s="2455"/>
      <c r="AD346" s="2456"/>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7"/>
      <c r="G347" s="2458"/>
      <c r="H347" s="2458"/>
      <c r="I347" s="2458"/>
      <c r="J347" s="2458"/>
      <c r="K347" s="2458"/>
      <c r="L347" s="2458"/>
      <c r="M347" s="2458"/>
      <c r="N347" s="2458"/>
      <c r="O347" s="2458"/>
      <c r="P347" s="2458"/>
      <c r="Q347" s="2458"/>
      <c r="R347" s="2458"/>
      <c r="S347" s="2458"/>
      <c r="T347" s="2458"/>
      <c r="U347" s="2458"/>
      <c r="V347" s="2458"/>
      <c r="W347" s="2458"/>
      <c r="X347" s="2458"/>
      <c r="Y347" s="2458"/>
      <c r="Z347" s="2458"/>
      <c r="AA347" s="2458"/>
      <c r="AB347" s="2458"/>
      <c r="AC347" s="2458"/>
      <c r="AD347" s="2459"/>
      <c r="AE347" s="550"/>
      <c r="AF347" s="550"/>
      <c r="AG347" s="550"/>
      <c r="AH347" s="550"/>
      <c r="AI347" s="550"/>
      <c r="AJ347" s="549"/>
      <c r="AK347" s="549"/>
      <c r="AL347" s="549"/>
      <c r="AM347" s="549"/>
      <c r="AN347" s="73"/>
      <c r="AO347" s="14"/>
    </row>
    <row r="348" spans="1:42" ht="15" hidden="1" customHeight="1">
      <c r="A348" s="549"/>
      <c r="B348" s="550"/>
      <c r="C348" s="550"/>
      <c r="D348" s="550"/>
      <c r="E348" s="550"/>
      <c r="F348" s="2457"/>
      <c r="G348" s="2458"/>
      <c r="H348" s="2458"/>
      <c r="I348" s="2458"/>
      <c r="J348" s="2458"/>
      <c r="K348" s="2458"/>
      <c r="L348" s="2458"/>
      <c r="M348" s="2458"/>
      <c r="N348" s="2458"/>
      <c r="O348" s="2458"/>
      <c r="P348" s="2458"/>
      <c r="Q348" s="2458"/>
      <c r="R348" s="2458"/>
      <c r="S348" s="2458"/>
      <c r="T348" s="2458"/>
      <c r="U348" s="2458"/>
      <c r="V348" s="2458"/>
      <c r="W348" s="2458"/>
      <c r="X348" s="2458"/>
      <c r="Y348" s="2458"/>
      <c r="Z348" s="2458"/>
      <c r="AA348" s="2458"/>
      <c r="AB348" s="2458"/>
      <c r="AC348" s="2458"/>
      <c r="AD348" s="2459"/>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394">
        <f>IF(NOT(OR(Application!M364="Yes",Application!M365="Yes")),0,AP308)</f>
        <v>0</v>
      </c>
      <c r="AL351" s="2440"/>
      <c r="AM351" s="239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51" t="s">
        <v>1308</v>
      </c>
      <c r="AF354" s="2451"/>
      <c r="AG354" s="2451"/>
      <c r="AH354" s="2451"/>
      <c r="AI354" s="2451"/>
      <c r="AJ354" s="2451"/>
      <c r="AK354" s="2451"/>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2" t="s">
        <v>1445</v>
      </c>
      <c r="D356" s="2462"/>
      <c r="E356" s="2462"/>
      <c r="F356" s="2462"/>
      <c r="G356" s="2462"/>
      <c r="H356" s="2462"/>
      <c r="I356" s="2462"/>
      <c r="J356" s="2462"/>
      <c r="K356" s="2462"/>
      <c r="L356" s="2462"/>
      <c r="M356" s="2462"/>
      <c r="N356" s="2462"/>
      <c r="O356" s="2462"/>
      <c r="P356" s="2462"/>
      <c r="Q356" s="2462"/>
      <c r="R356" s="2462"/>
      <c r="S356" s="2462"/>
      <c r="T356" s="2462"/>
      <c r="U356" s="2462"/>
      <c r="V356" s="2462"/>
      <c r="W356" s="2462"/>
      <c r="X356" s="2462"/>
      <c r="Y356" s="2462"/>
      <c r="Z356" s="2462"/>
      <c r="AA356" s="2462"/>
      <c r="AB356" s="2462"/>
      <c r="AC356" s="2462"/>
      <c r="AD356" s="2462"/>
      <c r="AE356" s="2462"/>
      <c r="AF356" s="2462"/>
      <c r="AG356" s="2462"/>
      <c r="AH356" s="2462"/>
      <c r="AI356" s="2462"/>
      <c r="AJ356" s="2462"/>
      <c r="AK356" s="601"/>
      <c r="AL356" s="601"/>
      <c r="AM356" s="601"/>
      <c r="AN356" s="595"/>
    </row>
    <row r="357" spans="1:44" s="549" customFormat="1" ht="12.75" customHeight="1">
      <c r="A357" s="601"/>
      <c r="B357" s="609"/>
      <c r="C357" s="2462"/>
      <c r="D357" s="2462"/>
      <c r="E357" s="2462"/>
      <c r="F357" s="2462"/>
      <c r="G357" s="2462"/>
      <c r="H357" s="2462"/>
      <c r="I357" s="2462"/>
      <c r="J357" s="2462"/>
      <c r="K357" s="2462"/>
      <c r="L357" s="2462"/>
      <c r="M357" s="2462"/>
      <c r="N357" s="2462"/>
      <c r="O357" s="2462"/>
      <c r="P357" s="2462"/>
      <c r="Q357" s="2462"/>
      <c r="R357" s="2462"/>
      <c r="S357" s="2462"/>
      <c r="T357" s="2462"/>
      <c r="U357" s="2462"/>
      <c r="V357" s="2462"/>
      <c r="W357" s="2462"/>
      <c r="X357" s="2462"/>
      <c r="Y357" s="2462"/>
      <c r="Z357" s="2462"/>
      <c r="AA357" s="2462"/>
      <c r="AB357" s="2462"/>
      <c r="AC357" s="2462"/>
      <c r="AD357" s="2462"/>
      <c r="AE357" s="2462"/>
      <c r="AF357" s="2462"/>
      <c r="AG357" s="2462"/>
      <c r="AH357" s="2462"/>
      <c r="AI357" s="2462"/>
      <c r="AJ357" s="2462"/>
      <c r="AK357" s="601"/>
      <c r="AL357" s="601"/>
      <c r="AM357" s="601"/>
      <c r="AN357" s="595"/>
    </row>
    <row r="358" spans="1:44" s="549" customFormat="1" ht="12.75" customHeight="1">
      <c r="A358" s="601"/>
      <c r="B358" s="609"/>
      <c r="C358" s="2462"/>
      <c r="D358" s="2462"/>
      <c r="E358" s="2462"/>
      <c r="F358" s="2462"/>
      <c r="G358" s="2462"/>
      <c r="H358" s="2462"/>
      <c r="I358" s="2462"/>
      <c r="J358" s="2462"/>
      <c r="K358" s="2462"/>
      <c r="L358" s="2462"/>
      <c r="M358" s="2462"/>
      <c r="N358" s="2462"/>
      <c r="O358" s="2462"/>
      <c r="P358" s="2462"/>
      <c r="Q358" s="2462"/>
      <c r="R358" s="2462"/>
      <c r="S358" s="2462"/>
      <c r="T358" s="2462"/>
      <c r="U358" s="2462"/>
      <c r="V358" s="2462"/>
      <c r="W358" s="2462"/>
      <c r="X358" s="2462"/>
      <c r="Y358" s="2462"/>
      <c r="Z358" s="2462"/>
      <c r="AA358" s="2462"/>
      <c r="AB358" s="2462"/>
      <c r="AC358" s="2462"/>
      <c r="AD358" s="2462"/>
      <c r="AE358" s="2462"/>
      <c r="AF358" s="2462"/>
      <c r="AG358" s="2462"/>
      <c r="AH358" s="2462"/>
      <c r="AI358" s="2462"/>
      <c r="AJ358" s="2462"/>
      <c r="AK358" s="601"/>
      <c r="AL358" s="601"/>
      <c r="AM358" s="601"/>
      <c r="AN358" s="595"/>
      <c r="AQ358" s="568"/>
    </row>
    <row r="359" spans="1:44" s="549" customFormat="1" ht="12.75" customHeight="1">
      <c r="A359" s="601"/>
      <c r="B359" s="609"/>
      <c r="C359" s="2462"/>
      <c r="D359" s="2462"/>
      <c r="E359" s="2462"/>
      <c r="F359" s="2462"/>
      <c r="G359" s="2462"/>
      <c r="H359" s="2462"/>
      <c r="I359" s="2462"/>
      <c r="J359" s="2462"/>
      <c r="K359" s="2462"/>
      <c r="L359" s="2462"/>
      <c r="M359" s="2462"/>
      <c r="N359" s="2462"/>
      <c r="O359" s="2462"/>
      <c r="P359" s="2462"/>
      <c r="Q359" s="2462"/>
      <c r="R359" s="2462"/>
      <c r="S359" s="2462"/>
      <c r="T359" s="2462"/>
      <c r="U359" s="2462"/>
      <c r="V359" s="2462"/>
      <c r="W359" s="2462"/>
      <c r="X359" s="2462"/>
      <c r="Y359" s="2462"/>
      <c r="Z359" s="2462"/>
      <c r="AA359" s="2462"/>
      <c r="AB359" s="2462"/>
      <c r="AC359" s="2462"/>
      <c r="AD359" s="2462"/>
      <c r="AE359" s="2462"/>
      <c r="AF359" s="2462"/>
      <c r="AG359" s="2462"/>
      <c r="AH359" s="2462"/>
      <c r="AI359" s="2462"/>
      <c r="AJ359" s="2462"/>
      <c r="AK359" s="601"/>
      <c r="AL359" s="601"/>
      <c r="AM359" s="601"/>
      <c r="AN359" s="595"/>
      <c r="AQ359" s="568"/>
    </row>
    <row r="360" spans="1:44" s="549" customFormat="1" ht="12.4" customHeight="1">
      <c r="A360" s="601"/>
      <c r="B360" s="609"/>
      <c r="C360" s="2462"/>
      <c r="D360" s="2462"/>
      <c r="E360" s="2462"/>
      <c r="F360" s="2462"/>
      <c r="G360" s="2462"/>
      <c r="H360" s="2462"/>
      <c r="I360" s="2462"/>
      <c r="J360" s="2462"/>
      <c r="K360" s="2462"/>
      <c r="L360" s="2462"/>
      <c r="M360" s="2462"/>
      <c r="N360" s="2462"/>
      <c r="O360" s="2462"/>
      <c r="P360" s="2462"/>
      <c r="Q360" s="2462"/>
      <c r="R360" s="2462"/>
      <c r="S360" s="2462"/>
      <c r="T360" s="2462"/>
      <c r="U360" s="2462"/>
      <c r="V360" s="2462"/>
      <c r="W360" s="2462"/>
      <c r="X360" s="2462"/>
      <c r="Y360" s="2462"/>
      <c r="Z360" s="2462"/>
      <c r="AA360" s="2462"/>
      <c r="AB360" s="2462"/>
      <c r="AC360" s="2462"/>
      <c r="AD360" s="2462"/>
      <c r="AE360" s="2462"/>
      <c r="AF360" s="2462"/>
      <c r="AG360" s="2462"/>
      <c r="AH360" s="2462"/>
      <c r="AI360" s="2462"/>
      <c r="AJ360" s="2462"/>
      <c r="AK360" s="601"/>
      <c r="AL360" s="601"/>
      <c r="AM360" s="601"/>
      <c r="AN360" s="595"/>
      <c r="AQ360" s="568"/>
      <c r="AR360" s="568"/>
    </row>
    <row r="361" spans="1:44" s="549" customFormat="1" ht="45.75" customHeight="1">
      <c r="A361" s="601"/>
      <c r="B361" s="609"/>
      <c r="C361" s="2462" t="s">
        <v>2047</v>
      </c>
      <c r="D361" s="2462"/>
      <c r="E361" s="2462"/>
      <c r="F361" s="2462"/>
      <c r="G361" s="2462"/>
      <c r="H361" s="2462"/>
      <c r="I361" s="2462"/>
      <c r="J361" s="2462"/>
      <c r="K361" s="2462"/>
      <c r="L361" s="2462"/>
      <c r="M361" s="2462"/>
      <c r="N361" s="2462"/>
      <c r="O361" s="2462"/>
      <c r="P361" s="2462"/>
      <c r="Q361" s="2462"/>
      <c r="R361" s="2462"/>
      <c r="S361" s="2462"/>
      <c r="T361" s="2462"/>
      <c r="U361" s="2462"/>
      <c r="V361" s="2462"/>
      <c r="W361" s="2462"/>
      <c r="X361" s="2462"/>
      <c r="Y361" s="2462"/>
      <c r="Z361" s="2462"/>
      <c r="AA361" s="2462"/>
      <c r="AB361" s="2462"/>
      <c r="AC361" s="2462"/>
      <c r="AD361" s="2462"/>
      <c r="AE361" s="2462"/>
      <c r="AF361" s="2462"/>
      <c r="AG361" s="2462"/>
      <c r="AH361" s="2462"/>
      <c r="AI361" s="2462"/>
      <c r="AJ361" s="2462"/>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2" t="s">
        <v>2161</v>
      </c>
      <c r="D363" s="2462"/>
      <c r="E363" s="2462"/>
      <c r="F363" s="2462"/>
      <c r="G363" s="2462"/>
      <c r="H363" s="2462"/>
      <c r="I363" s="2462"/>
      <c r="J363" s="2462"/>
      <c r="K363" s="2462"/>
      <c r="L363" s="2462"/>
      <c r="M363" s="2462"/>
      <c r="N363" s="2462"/>
      <c r="O363" s="2462"/>
      <c r="P363" s="2462"/>
      <c r="Q363" s="2462"/>
      <c r="R363" s="2462"/>
      <c r="S363" s="2462"/>
      <c r="T363" s="2462"/>
      <c r="U363" s="2462"/>
      <c r="V363" s="2462"/>
      <c r="W363" s="2462"/>
      <c r="X363" s="2462"/>
      <c r="Y363" s="2462"/>
      <c r="Z363" s="2462"/>
      <c r="AA363" s="2462"/>
      <c r="AB363" s="2462"/>
      <c r="AC363" s="2462"/>
      <c r="AD363" s="2462"/>
      <c r="AE363" s="2462"/>
      <c r="AF363" s="2462"/>
      <c r="AG363" s="2462"/>
      <c r="AH363" s="2462"/>
      <c r="AI363" s="2462"/>
      <c r="AJ363" s="2462"/>
      <c r="AK363" s="601"/>
      <c r="AL363" s="601"/>
      <c r="AM363" s="601"/>
      <c r="AN363" s="595"/>
      <c r="AQ363" s="568"/>
      <c r="AR363" s="568"/>
    </row>
    <row r="364" spans="1:44" s="549" customFormat="1" ht="30" customHeight="1">
      <c r="A364" s="601"/>
      <c r="B364" s="609"/>
      <c r="C364" s="2462"/>
      <c r="D364" s="2462"/>
      <c r="E364" s="2462"/>
      <c r="F364" s="2462"/>
      <c r="G364" s="2462"/>
      <c r="H364" s="2462"/>
      <c r="I364" s="2462"/>
      <c r="J364" s="2462"/>
      <c r="K364" s="2462"/>
      <c r="L364" s="2462"/>
      <c r="M364" s="2462"/>
      <c r="N364" s="2462"/>
      <c r="O364" s="2462"/>
      <c r="P364" s="2462"/>
      <c r="Q364" s="2462"/>
      <c r="R364" s="2462"/>
      <c r="S364" s="2462"/>
      <c r="T364" s="2462"/>
      <c r="U364" s="2462"/>
      <c r="V364" s="2462"/>
      <c r="W364" s="2462"/>
      <c r="X364" s="2462"/>
      <c r="Y364" s="2462"/>
      <c r="Z364" s="2462"/>
      <c r="AA364" s="2462"/>
      <c r="AB364" s="2462"/>
      <c r="AC364" s="2462"/>
      <c r="AD364" s="2462"/>
      <c r="AE364" s="2462"/>
      <c r="AF364" s="2462"/>
      <c r="AG364" s="2462"/>
      <c r="AH364" s="2462"/>
      <c r="AI364" s="2462"/>
      <c r="AJ364" s="2462"/>
      <c r="AK364" s="601"/>
      <c r="AL364" s="601"/>
      <c r="AM364" s="601"/>
      <c r="AN364" s="595"/>
      <c r="AR364" s="568"/>
    </row>
    <row r="365" spans="1:44" s="549" customFormat="1" ht="12.75" customHeight="1">
      <c r="A365" s="601"/>
      <c r="B365" s="609"/>
      <c r="C365" s="2462"/>
      <c r="D365" s="2462"/>
      <c r="E365" s="2462"/>
      <c r="F365" s="2462"/>
      <c r="G365" s="2462"/>
      <c r="H365" s="2462"/>
      <c r="I365" s="2462"/>
      <c r="J365" s="2462"/>
      <c r="K365" s="2462"/>
      <c r="L365" s="2462"/>
      <c r="M365" s="2462"/>
      <c r="N365" s="2462"/>
      <c r="O365" s="2462"/>
      <c r="P365" s="2462"/>
      <c r="Q365" s="2462"/>
      <c r="R365" s="2462"/>
      <c r="S365" s="2462"/>
      <c r="T365" s="2462"/>
      <c r="U365" s="2462"/>
      <c r="V365" s="2462"/>
      <c r="W365" s="2462"/>
      <c r="X365" s="2462"/>
      <c r="Y365" s="2462"/>
      <c r="Z365" s="2462"/>
      <c r="AA365" s="2462"/>
      <c r="AB365" s="2462"/>
      <c r="AC365" s="2462"/>
      <c r="AD365" s="2462"/>
      <c r="AE365" s="2462"/>
      <c r="AF365" s="2462"/>
      <c r="AG365" s="2462"/>
      <c r="AH365" s="2462"/>
      <c r="AI365" s="2462"/>
      <c r="AJ365" s="2462"/>
      <c r="AK365" s="601"/>
      <c r="AL365" s="601"/>
      <c r="AM365" s="601"/>
      <c r="AN365" s="595"/>
      <c r="AR365" s="568"/>
    </row>
    <row r="366" spans="1:44" s="549" customFormat="1" ht="12.75" customHeight="1">
      <c r="A366" s="601"/>
      <c r="B366" s="609"/>
      <c r="C366" s="2462" t="s">
        <v>1446</v>
      </c>
      <c r="D366" s="2462"/>
      <c r="E366" s="2462"/>
      <c r="F366" s="2462"/>
      <c r="G366" s="2462"/>
      <c r="H366" s="2462"/>
      <c r="I366" s="2462"/>
      <c r="J366" s="2462"/>
      <c r="K366" s="2462"/>
      <c r="L366" s="2462"/>
      <c r="M366" s="2462"/>
      <c r="N366" s="2462"/>
      <c r="O366" s="2462"/>
      <c r="P366" s="2462"/>
      <c r="Q366" s="2462"/>
      <c r="R366" s="2462"/>
      <c r="S366" s="2462"/>
      <c r="T366" s="2462"/>
      <c r="U366" s="2462"/>
      <c r="V366" s="2462"/>
      <c r="W366" s="2462"/>
      <c r="X366" s="2462"/>
      <c r="Y366" s="2462"/>
      <c r="Z366" s="2462"/>
      <c r="AA366" s="2462"/>
      <c r="AB366" s="2462"/>
      <c r="AC366" s="2462"/>
      <c r="AD366" s="2462"/>
      <c r="AE366" s="2462"/>
      <c r="AF366" s="2462"/>
      <c r="AG366" s="2462"/>
      <c r="AH366" s="2462"/>
      <c r="AI366" s="2462"/>
      <c r="AJ366" s="2462"/>
      <c r="AK366" s="601"/>
      <c r="AL366" s="601"/>
      <c r="AM366" s="601"/>
      <c r="AN366" s="595"/>
      <c r="AQ366" s="568"/>
      <c r="AR366" s="568"/>
    </row>
    <row r="367" spans="1:44" s="549" customFormat="1" ht="12.75" customHeight="1">
      <c r="A367" s="601"/>
      <c r="B367" s="609"/>
      <c r="C367" s="2462"/>
      <c r="D367" s="2462"/>
      <c r="E367" s="2462"/>
      <c r="F367" s="2462"/>
      <c r="G367" s="2462"/>
      <c r="H367" s="2462"/>
      <c r="I367" s="2462"/>
      <c r="J367" s="2462"/>
      <c r="K367" s="2462"/>
      <c r="L367" s="2462"/>
      <c r="M367" s="2462"/>
      <c r="N367" s="2462"/>
      <c r="O367" s="2462"/>
      <c r="P367" s="2462"/>
      <c r="Q367" s="2462"/>
      <c r="R367" s="2462"/>
      <c r="S367" s="2462"/>
      <c r="T367" s="2462"/>
      <c r="U367" s="2462"/>
      <c r="V367" s="2462"/>
      <c r="W367" s="2462"/>
      <c r="X367" s="2462"/>
      <c r="Y367" s="2462"/>
      <c r="Z367" s="2462"/>
      <c r="AA367" s="2462"/>
      <c r="AB367" s="2462"/>
      <c r="AC367" s="2462"/>
      <c r="AD367" s="2462"/>
      <c r="AE367" s="2462"/>
      <c r="AF367" s="2462"/>
      <c r="AG367" s="2462"/>
      <c r="AH367" s="2462"/>
      <c r="AI367" s="2462"/>
      <c r="AJ367" s="2462"/>
      <c r="AK367" s="601"/>
      <c r="AL367" s="601"/>
      <c r="AM367" s="601"/>
      <c r="AN367" s="595"/>
      <c r="AQ367" s="568"/>
      <c r="AR367" s="568"/>
    </row>
    <row r="368" spans="1:44" s="549" customFormat="1" ht="13.15" customHeight="1">
      <c r="A368" s="601"/>
      <c r="B368" s="609"/>
      <c r="C368" s="2462"/>
      <c r="D368" s="2462"/>
      <c r="E368" s="2462"/>
      <c r="F368" s="2462"/>
      <c r="G368" s="2462"/>
      <c r="H368" s="2462"/>
      <c r="I368" s="2462"/>
      <c r="J368" s="2462"/>
      <c r="K368" s="2462"/>
      <c r="L368" s="2462"/>
      <c r="M368" s="2462"/>
      <c r="N368" s="2462"/>
      <c r="O368" s="2462"/>
      <c r="P368" s="2462"/>
      <c r="Q368" s="2462"/>
      <c r="R368" s="2462"/>
      <c r="S368" s="2462"/>
      <c r="T368" s="2462"/>
      <c r="U368" s="2462"/>
      <c r="V368" s="2462"/>
      <c r="W368" s="2462"/>
      <c r="X368" s="2462"/>
      <c r="Y368" s="2462"/>
      <c r="Z368" s="2462"/>
      <c r="AA368" s="2462"/>
      <c r="AB368" s="2462"/>
      <c r="AC368" s="2462"/>
      <c r="AD368" s="2462"/>
      <c r="AE368" s="2462"/>
      <c r="AF368" s="2462"/>
      <c r="AG368" s="2462"/>
      <c r="AH368" s="2462"/>
      <c r="AI368" s="2462"/>
      <c r="AJ368" s="2462"/>
      <c r="AK368" s="601"/>
      <c r="AL368" s="601"/>
      <c r="AM368" s="601"/>
      <c r="AN368" s="595"/>
      <c r="AQ368" s="568"/>
      <c r="AR368" s="568"/>
    </row>
    <row r="369" spans="1:46" s="549" customFormat="1" ht="12.75" customHeight="1">
      <c r="A369" s="601"/>
      <c r="B369" s="609"/>
      <c r="C369" s="2462"/>
      <c r="D369" s="2462"/>
      <c r="E369" s="2462"/>
      <c r="F369" s="2462"/>
      <c r="G369" s="2462"/>
      <c r="H369" s="2462"/>
      <c r="I369" s="2462"/>
      <c r="J369" s="2462"/>
      <c r="K369" s="2462"/>
      <c r="L369" s="2462"/>
      <c r="M369" s="2462"/>
      <c r="N369" s="2462"/>
      <c r="O369" s="2462"/>
      <c r="P369" s="2462"/>
      <c r="Q369" s="2462"/>
      <c r="R369" s="2462"/>
      <c r="S369" s="2462"/>
      <c r="T369" s="2462"/>
      <c r="U369" s="2462"/>
      <c r="V369" s="2462"/>
      <c r="W369" s="2462"/>
      <c r="X369" s="2462"/>
      <c r="Y369" s="2462"/>
      <c r="Z369" s="2462"/>
      <c r="AA369" s="2462"/>
      <c r="AB369" s="2462"/>
      <c r="AC369" s="2462"/>
      <c r="AD369" s="2462"/>
      <c r="AE369" s="2462"/>
      <c r="AF369" s="2462"/>
      <c r="AG369" s="2462"/>
      <c r="AH369" s="2462"/>
      <c r="AI369" s="2462"/>
      <c r="AJ369" s="2462"/>
      <c r="AK369" s="601"/>
      <c r="AL369" s="601"/>
      <c r="AM369" s="601"/>
      <c r="AN369" s="595"/>
      <c r="AO369" s="690"/>
      <c r="AP369" s="690"/>
      <c r="AQ369" s="568"/>
    </row>
    <row r="370" spans="1:46" s="549" customFormat="1" ht="11.85" customHeight="1">
      <c r="A370" s="601"/>
      <c r="B370" s="609"/>
      <c r="C370" s="2462"/>
      <c r="D370" s="2462"/>
      <c r="E370" s="2462"/>
      <c r="F370" s="2462"/>
      <c r="G370" s="2462"/>
      <c r="H370" s="2462"/>
      <c r="I370" s="2462"/>
      <c r="J370" s="2462"/>
      <c r="K370" s="2462"/>
      <c r="L370" s="2462"/>
      <c r="M370" s="2462"/>
      <c r="N370" s="2462"/>
      <c r="O370" s="2462"/>
      <c r="P370" s="2462"/>
      <c r="Q370" s="2462"/>
      <c r="R370" s="2462"/>
      <c r="S370" s="2462"/>
      <c r="T370" s="2462"/>
      <c r="U370" s="2462"/>
      <c r="V370" s="2462"/>
      <c r="W370" s="2462"/>
      <c r="X370" s="2462"/>
      <c r="Y370" s="2462"/>
      <c r="Z370" s="2462"/>
      <c r="AA370" s="2462"/>
      <c r="AB370" s="2462"/>
      <c r="AC370" s="2462"/>
      <c r="AD370" s="2462"/>
      <c r="AE370" s="2462"/>
      <c r="AF370" s="2462"/>
      <c r="AG370" s="2462"/>
      <c r="AH370" s="2462"/>
      <c r="AI370" s="2462"/>
      <c r="AJ370" s="2462"/>
      <c r="AK370" s="601"/>
      <c r="AL370" s="601"/>
      <c r="AM370" s="601"/>
      <c r="AN370" s="595"/>
      <c r="AO370" s="691" t="s">
        <v>112</v>
      </c>
      <c r="AP370" s="692">
        <f>IF(C394="Yes",5,0)</f>
        <v>0</v>
      </c>
      <c r="AS370" s="539" t="s">
        <v>1447</v>
      </c>
    </row>
    <row r="371" spans="1:46" s="549" customFormat="1" ht="12.75" customHeight="1">
      <c r="A371" s="601"/>
      <c r="B371" s="609"/>
      <c r="C371" s="2462"/>
      <c r="D371" s="2462"/>
      <c r="E371" s="2462"/>
      <c r="F371" s="2462"/>
      <c r="G371" s="2462"/>
      <c r="H371" s="2462"/>
      <c r="I371" s="2462"/>
      <c r="J371" s="2462"/>
      <c r="K371" s="2462"/>
      <c r="L371" s="2462"/>
      <c r="M371" s="2462"/>
      <c r="N371" s="2462"/>
      <c r="O371" s="2462"/>
      <c r="P371" s="2462"/>
      <c r="Q371" s="2462"/>
      <c r="R371" s="2462"/>
      <c r="S371" s="2462"/>
      <c r="T371" s="2462"/>
      <c r="U371" s="2462"/>
      <c r="V371" s="2462"/>
      <c r="W371" s="2462"/>
      <c r="X371" s="2462"/>
      <c r="Y371" s="2462"/>
      <c r="Z371" s="2462"/>
      <c r="AA371" s="2462"/>
      <c r="AB371" s="2462"/>
      <c r="AC371" s="2462"/>
      <c r="AD371" s="2462"/>
      <c r="AE371" s="2462"/>
      <c r="AF371" s="2462"/>
      <c r="AG371" s="2462"/>
      <c r="AH371" s="2462"/>
      <c r="AI371" s="2462"/>
      <c r="AJ371" s="2462"/>
      <c r="AK371" s="601"/>
      <c r="AL371" s="601"/>
      <c r="AM371" s="601"/>
      <c r="AN371" s="595"/>
      <c r="AO371" s="691" t="s">
        <v>113</v>
      </c>
      <c r="AP371" s="692">
        <f>IF(C402="Yes",5,0)</f>
        <v>0</v>
      </c>
      <c r="AS371" s="2530">
        <f>IF(Application!D211="Non-Targeted",(SUM(AQ379+AQ388)),AS375)</f>
        <v>10</v>
      </c>
      <c r="AT371" s="2530"/>
    </row>
    <row r="372" spans="1:46" s="549" customFormat="1" ht="12.75" customHeight="1">
      <c r="A372" s="601"/>
      <c r="B372" s="609"/>
      <c r="C372" s="2462"/>
      <c r="D372" s="2462"/>
      <c r="E372" s="2462"/>
      <c r="F372" s="2462"/>
      <c r="G372" s="2462"/>
      <c r="H372" s="2462"/>
      <c r="I372" s="2462"/>
      <c r="J372" s="2462"/>
      <c r="K372" s="2462"/>
      <c r="L372" s="2462"/>
      <c r="M372" s="2462"/>
      <c r="N372" s="2462"/>
      <c r="O372" s="2462"/>
      <c r="P372" s="2462"/>
      <c r="Q372" s="2462"/>
      <c r="R372" s="2462"/>
      <c r="S372" s="2462"/>
      <c r="T372" s="2462"/>
      <c r="U372" s="2462"/>
      <c r="V372" s="2462"/>
      <c r="W372" s="2462"/>
      <c r="X372" s="2462"/>
      <c r="Y372" s="2462"/>
      <c r="Z372" s="2462"/>
      <c r="AA372" s="2462"/>
      <c r="AB372" s="2462"/>
      <c r="AC372" s="2462"/>
      <c r="AD372" s="2462"/>
      <c r="AE372" s="2462"/>
      <c r="AF372" s="2462"/>
      <c r="AG372" s="2462"/>
      <c r="AH372" s="2462"/>
      <c r="AI372" s="2462"/>
      <c r="AJ372" s="2462"/>
      <c r="AK372" s="601"/>
      <c r="AL372" s="601"/>
      <c r="AM372" s="601"/>
      <c r="AN372" s="595"/>
      <c r="AO372" s="691" t="s">
        <v>119</v>
      </c>
      <c r="AP372" s="692">
        <f>IF(C410="Yes",7,0)</f>
        <v>7</v>
      </c>
      <c r="AS372" s="539" t="s">
        <v>1448</v>
      </c>
    </row>
    <row r="373" spans="1:46" s="549" customFormat="1" ht="12.75" customHeight="1">
      <c r="B373" s="609"/>
      <c r="C373" s="2462"/>
      <c r="D373" s="2462"/>
      <c r="E373" s="2462"/>
      <c r="F373" s="2462"/>
      <c r="G373" s="2462"/>
      <c r="H373" s="2462"/>
      <c r="I373" s="2462"/>
      <c r="J373" s="2462"/>
      <c r="K373" s="2462"/>
      <c r="L373" s="2462"/>
      <c r="M373" s="2462"/>
      <c r="N373" s="2462"/>
      <c r="O373" s="2462"/>
      <c r="P373" s="2462"/>
      <c r="Q373" s="2462"/>
      <c r="R373" s="2462"/>
      <c r="S373" s="2462"/>
      <c r="T373" s="2462"/>
      <c r="U373" s="2462"/>
      <c r="V373" s="2462"/>
      <c r="W373" s="2462"/>
      <c r="X373" s="2462"/>
      <c r="Y373" s="2462"/>
      <c r="Z373" s="2462"/>
      <c r="AA373" s="2462"/>
      <c r="AB373" s="2462"/>
      <c r="AC373" s="2462"/>
      <c r="AD373" s="2462"/>
      <c r="AE373" s="2462"/>
      <c r="AF373" s="2462"/>
      <c r="AG373" s="2462"/>
      <c r="AH373" s="2462"/>
      <c r="AI373" s="2462"/>
      <c r="AJ373" s="2462"/>
      <c r="AK373" s="601"/>
      <c r="AL373" s="601"/>
      <c r="AM373" s="601"/>
      <c r="AN373" s="595"/>
      <c r="AO373" s="595"/>
      <c r="AP373" s="692">
        <f>IF(C412="Yes",5,0)</f>
        <v>0</v>
      </c>
      <c r="AS373" s="2530">
        <f>IF(AND(AQ379&gt;0,AQ388&gt;0),(AQ379+AQ388)/2,0)</f>
        <v>0</v>
      </c>
      <c r="AT373" s="2530"/>
    </row>
    <row r="374" spans="1:46" s="549" customFormat="1" ht="12.75" customHeight="1">
      <c r="A374" s="601"/>
      <c r="B374" s="609"/>
      <c r="C374" s="2462"/>
      <c r="D374" s="2462"/>
      <c r="E374" s="2462"/>
      <c r="F374" s="2462"/>
      <c r="G374" s="2462"/>
      <c r="H374" s="2462"/>
      <c r="I374" s="2462"/>
      <c r="J374" s="2462"/>
      <c r="K374" s="2462"/>
      <c r="L374" s="2462"/>
      <c r="M374" s="2462"/>
      <c r="N374" s="2462"/>
      <c r="O374" s="2462"/>
      <c r="P374" s="2462"/>
      <c r="Q374" s="2462"/>
      <c r="R374" s="2462"/>
      <c r="S374" s="2462"/>
      <c r="T374" s="2462"/>
      <c r="U374" s="2462"/>
      <c r="V374" s="2462"/>
      <c r="W374" s="2462"/>
      <c r="X374" s="2462"/>
      <c r="Y374" s="2462"/>
      <c r="Z374" s="2462"/>
      <c r="AA374" s="2462"/>
      <c r="AB374" s="2462"/>
      <c r="AC374" s="2462"/>
      <c r="AD374" s="2462"/>
      <c r="AE374" s="2462"/>
      <c r="AF374" s="2462"/>
      <c r="AG374" s="2462"/>
      <c r="AH374" s="2462"/>
      <c r="AI374" s="2462"/>
      <c r="AJ374" s="2462"/>
      <c r="AK374" s="601"/>
      <c r="AL374" s="601"/>
      <c r="AM374" s="601"/>
      <c r="AN374" s="595"/>
      <c r="AO374" s="691" t="s">
        <v>581</v>
      </c>
      <c r="AP374" s="692">
        <f>IF(C420="Yes",5,0)</f>
        <v>0</v>
      </c>
      <c r="AS374" s="539" t="s">
        <v>1852</v>
      </c>
    </row>
    <row r="375" spans="1:46" s="549" customFormat="1" ht="12.75" customHeight="1">
      <c r="A375" s="601"/>
      <c r="B375" s="609"/>
      <c r="C375" s="2531" t="s">
        <v>2185</v>
      </c>
      <c r="D375" s="2531"/>
      <c r="E375" s="2531"/>
      <c r="F375" s="2531"/>
      <c r="G375" s="2531"/>
      <c r="H375" s="2531"/>
      <c r="I375" s="2531"/>
      <c r="J375" s="2531"/>
      <c r="K375" s="2531"/>
      <c r="L375" s="2531"/>
      <c r="M375" s="2531"/>
      <c r="N375" s="2531"/>
      <c r="O375" s="2531"/>
      <c r="P375" s="2531"/>
      <c r="Q375" s="2531"/>
      <c r="R375" s="2531"/>
      <c r="S375" s="2531"/>
      <c r="T375" s="2531"/>
      <c r="U375" s="2531"/>
      <c r="V375" s="2531"/>
      <c r="W375" s="2531"/>
      <c r="X375" s="2531"/>
      <c r="Y375" s="2531"/>
      <c r="Z375" s="2531"/>
      <c r="AA375" s="2531"/>
      <c r="AB375" s="2531"/>
      <c r="AC375" s="2531"/>
      <c r="AD375" s="2531"/>
      <c r="AE375" s="2531"/>
      <c r="AF375" s="2531"/>
      <c r="AG375" s="2531"/>
      <c r="AH375" s="2531"/>
      <c r="AI375" s="2531"/>
      <c r="AJ375" s="2531"/>
      <c r="AK375" s="601"/>
      <c r="AL375" s="601"/>
      <c r="AM375" s="601"/>
      <c r="AN375" s="595"/>
      <c r="AO375" s="595"/>
      <c r="AP375" s="692">
        <f>IF(C422="Yes",3,0)</f>
        <v>3</v>
      </c>
      <c r="AS375" s="2530">
        <f>IF(AQ379=0,AQ388,AQ379)</f>
        <v>10</v>
      </c>
      <c r="AT375" s="2530"/>
    </row>
    <row r="376" spans="1:46" s="549" customFormat="1" ht="12.75" customHeight="1">
      <c r="A376" s="601"/>
      <c r="B376" s="609"/>
      <c r="C376" s="2531"/>
      <c r="D376" s="2531"/>
      <c r="E376" s="2531"/>
      <c r="F376" s="2531"/>
      <c r="G376" s="2531"/>
      <c r="H376" s="2531"/>
      <c r="I376" s="2531"/>
      <c r="J376" s="2531"/>
      <c r="K376" s="2531"/>
      <c r="L376" s="2531"/>
      <c r="M376" s="2531"/>
      <c r="N376" s="2531"/>
      <c r="O376" s="2531"/>
      <c r="P376" s="2531"/>
      <c r="Q376" s="2531"/>
      <c r="R376" s="2531"/>
      <c r="S376" s="2531"/>
      <c r="T376" s="2531"/>
      <c r="U376" s="2531"/>
      <c r="V376" s="2531"/>
      <c r="W376" s="2531"/>
      <c r="X376" s="2531"/>
      <c r="Y376" s="2531"/>
      <c r="Z376" s="2531"/>
      <c r="AA376" s="2531"/>
      <c r="AB376" s="2531"/>
      <c r="AC376" s="2531"/>
      <c r="AD376" s="2531"/>
      <c r="AE376" s="2531"/>
      <c r="AF376" s="2531"/>
      <c r="AG376" s="2531"/>
      <c r="AH376" s="2531"/>
      <c r="AI376" s="2531"/>
      <c r="AJ376" s="2531"/>
      <c r="AK376" s="601"/>
      <c r="AL376" s="601"/>
      <c r="AM376" s="601"/>
      <c r="AN376" s="595"/>
      <c r="AO376" s="691" t="s">
        <v>763</v>
      </c>
      <c r="AP376" s="692">
        <f>IF(C425="Yes",5,0)</f>
        <v>0</v>
      </c>
    </row>
    <row r="377" spans="1:46" s="549" customFormat="1" ht="12.75" customHeight="1">
      <c r="A377" s="601"/>
      <c r="B377" s="609"/>
      <c r="C377" s="2531"/>
      <c r="D377" s="2531"/>
      <c r="E377" s="2531"/>
      <c r="F377" s="2531"/>
      <c r="G377" s="2531"/>
      <c r="H377" s="2531"/>
      <c r="I377" s="2531"/>
      <c r="J377" s="2531"/>
      <c r="K377" s="2531"/>
      <c r="L377" s="2531"/>
      <c r="M377" s="2531"/>
      <c r="N377" s="2531"/>
      <c r="O377" s="2531"/>
      <c r="P377" s="2531"/>
      <c r="Q377" s="2531"/>
      <c r="R377" s="2531"/>
      <c r="S377" s="2531"/>
      <c r="T377" s="2531"/>
      <c r="U377" s="2531"/>
      <c r="V377" s="2531"/>
      <c r="W377" s="2531"/>
      <c r="X377" s="2531"/>
      <c r="Y377" s="2531"/>
      <c r="Z377" s="2531"/>
      <c r="AA377" s="2531"/>
      <c r="AB377" s="2531"/>
      <c r="AC377" s="2531"/>
      <c r="AD377" s="2531"/>
      <c r="AE377" s="2531"/>
      <c r="AF377" s="2531"/>
      <c r="AG377" s="2531"/>
      <c r="AH377" s="2531"/>
      <c r="AI377" s="2531"/>
      <c r="AJ377" s="2531"/>
      <c r="AK377" s="601"/>
      <c r="AL377" s="601"/>
      <c r="AM377" s="601"/>
      <c r="AN377" s="595"/>
      <c r="AO377" s="691" t="s">
        <v>584</v>
      </c>
      <c r="AP377" s="692">
        <f>IF(C434="Yes",5,0)</f>
        <v>0</v>
      </c>
    </row>
    <row r="378" spans="1:46" s="549" customFormat="1" ht="11.85" customHeight="1">
      <c r="A378" s="601"/>
      <c r="B378" s="609"/>
      <c r="C378" s="2531"/>
      <c r="D378" s="2531"/>
      <c r="E378" s="2531"/>
      <c r="F378" s="2531"/>
      <c r="G378" s="2531"/>
      <c r="H378" s="2531"/>
      <c r="I378" s="2531"/>
      <c r="J378" s="2531"/>
      <c r="K378" s="2531"/>
      <c r="L378" s="2531"/>
      <c r="M378" s="2531"/>
      <c r="N378" s="2531"/>
      <c r="O378" s="2531"/>
      <c r="P378" s="2531"/>
      <c r="Q378" s="2531"/>
      <c r="R378" s="2531"/>
      <c r="S378" s="2531"/>
      <c r="T378" s="2531"/>
      <c r="U378" s="2531"/>
      <c r="V378" s="2531"/>
      <c r="W378" s="2531"/>
      <c r="X378" s="2531"/>
      <c r="Y378" s="2531"/>
      <c r="Z378" s="2531"/>
      <c r="AA378" s="2531"/>
      <c r="AB378" s="2531"/>
      <c r="AC378" s="2531"/>
      <c r="AD378" s="2531"/>
      <c r="AE378" s="2531"/>
      <c r="AF378" s="2531"/>
      <c r="AG378" s="2531"/>
      <c r="AH378" s="2531"/>
      <c r="AI378" s="2531"/>
      <c r="AJ378" s="2531"/>
      <c r="AK378" s="601"/>
      <c r="AL378" s="601"/>
      <c r="AM378" s="601"/>
      <c r="AN378" s="595"/>
      <c r="AO378" s="693"/>
      <c r="AP378" s="694">
        <f>IF(C436="Yes",3,0)</f>
        <v>0</v>
      </c>
    </row>
    <row r="379" spans="1:46" s="549" customFormat="1" ht="12.4" customHeight="1">
      <c r="A379" s="601"/>
      <c r="B379" s="609"/>
      <c r="C379" s="2531"/>
      <c r="D379" s="2531"/>
      <c r="E379" s="2531"/>
      <c r="F379" s="2531"/>
      <c r="G379" s="2531"/>
      <c r="H379" s="2531"/>
      <c r="I379" s="2531"/>
      <c r="J379" s="2531"/>
      <c r="K379" s="2531"/>
      <c r="L379" s="2531"/>
      <c r="M379" s="2531"/>
      <c r="N379" s="2531"/>
      <c r="O379" s="2531"/>
      <c r="P379" s="2531"/>
      <c r="Q379" s="2531"/>
      <c r="R379" s="2531"/>
      <c r="S379" s="2531"/>
      <c r="T379" s="2531"/>
      <c r="U379" s="2531"/>
      <c r="V379" s="2531"/>
      <c r="W379" s="2531"/>
      <c r="X379" s="2531"/>
      <c r="Y379" s="2531"/>
      <c r="Z379" s="2531"/>
      <c r="AA379" s="2531"/>
      <c r="AB379" s="2531"/>
      <c r="AC379" s="2531"/>
      <c r="AD379" s="2531"/>
      <c r="AE379" s="2531"/>
      <c r="AF379" s="2531"/>
      <c r="AG379" s="2531"/>
      <c r="AH379" s="2531"/>
      <c r="AI379" s="2531"/>
      <c r="AJ379" s="2531"/>
      <c r="AK379" s="601"/>
      <c r="AL379" s="601"/>
      <c r="AM379" s="601"/>
      <c r="AN379" s="595"/>
      <c r="AO379" s="695" t="s">
        <v>227</v>
      </c>
      <c r="AP379" s="696">
        <f>SUM(AP370:AP378)</f>
        <v>10</v>
      </c>
      <c r="AQ379" s="2465">
        <f>IF(AP379&gt;0,AP379,0)</f>
        <v>10</v>
      </c>
      <c r="AR379" s="2465"/>
    </row>
    <row r="380" spans="1:46" s="549" customFormat="1" ht="12.75" customHeight="1">
      <c r="A380" s="601"/>
      <c r="B380" s="609"/>
      <c r="C380" s="2531"/>
      <c r="D380" s="2531"/>
      <c r="E380" s="2531"/>
      <c r="F380" s="2531"/>
      <c r="G380" s="2531"/>
      <c r="H380" s="2531"/>
      <c r="I380" s="2531"/>
      <c r="J380" s="2531"/>
      <c r="K380" s="2531"/>
      <c r="L380" s="2531"/>
      <c r="M380" s="2531"/>
      <c r="N380" s="2531"/>
      <c r="O380" s="2531"/>
      <c r="P380" s="2531"/>
      <c r="Q380" s="2531"/>
      <c r="R380" s="2531"/>
      <c r="S380" s="2531"/>
      <c r="T380" s="2531"/>
      <c r="U380" s="2531"/>
      <c r="V380" s="2531"/>
      <c r="W380" s="2531"/>
      <c r="X380" s="2531"/>
      <c r="Y380" s="2531"/>
      <c r="Z380" s="2531"/>
      <c r="AA380" s="2531"/>
      <c r="AB380" s="2531"/>
      <c r="AC380" s="2531"/>
      <c r="AD380" s="2531"/>
      <c r="AE380" s="2531"/>
      <c r="AF380" s="2531"/>
      <c r="AG380" s="2531"/>
      <c r="AH380" s="2531"/>
      <c r="AI380" s="2531"/>
      <c r="AJ380" s="253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2" t="s">
        <v>1449</v>
      </c>
      <c r="D382" s="2462"/>
      <c r="E382" s="2462"/>
      <c r="F382" s="2462"/>
      <c r="G382" s="2462"/>
      <c r="H382" s="2462"/>
      <c r="I382" s="2462"/>
      <c r="J382" s="2462"/>
      <c r="K382" s="2462"/>
      <c r="L382" s="2462"/>
      <c r="M382" s="2462"/>
      <c r="N382" s="2462"/>
      <c r="O382" s="2462"/>
      <c r="P382" s="2462"/>
      <c r="Q382" s="2462"/>
      <c r="R382" s="2462"/>
      <c r="S382" s="2462"/>
      <c r="T382" s="2462"/>
      <c r="U382" s="2462"/>
      <c r="V382" s="2462"/>
      <c r="W382" s="2462"/>
      <c r="X382" s="2462"/>
      <c r="Y382" s="2462"/>
      <c r="Z382" s="2462"/>
      <c r="AA382" s="2462"/>
      <c r="AB382" s="2462"/>
      <c r="AC382" s="2462"/>
      <c r="AD382" s="2462"/>
      <c r="AE382" s="2462"/>
      <c r="AF382" s="2462"/>
      <c r="AG382" s="2462"/>
      <c r="AH382" s="2462"/>
      <c r="AI382" s="2462"/>
      <c r="AJ382" s="2462"/>
      <c r="AK382" s="601"/>
      <c r="AL382" s="601"/>
      <c r="AM382" s="601"/>
      <c r="AN382" s="595"/>
      <c r="AO382" s="691" t="s">
        <v>456</v>
      </c>
      <c r="AP382" s="692">
        <f>IF(C455="Yes",5,0)</f>
        <v>0</v>
      </c>
    </row>
    <row r="383" spans="1:46" s="549" customFormat="1" ht="12.75" customHeight="1">
      <c r="A383" s="601"/>
      <c r="B383" s="609"/>
      <c r="C383" s="2462"/>
      <c r="D383" s="2462"/>
      <c r="E383" s="2462"/>
      <c r="F383" s="2462"/>
      <c r="G383" s="2462"/>
      <c r="H383" s="2462"/>
      <c r="I383" s="2462"/>
      <c r="J383" s="2462"/>
      <c r="K383" s="2462"/>
      <c r="L383" s="2462"/>
      <c r="M383" s="2462"/>
      <c r="N383" s="2462"/>
      <c r="O383" s="2462"/>
      <c r="P383" s="2462"/>
      <c r="Q383" s="2462"/>
      <c r="R383" s="2462"/>
      <c r="S383" s="2462"/>
      <c r="T383" s="2462"/>
      <c r="U383" s="2462"/>
      <c r="V383" s="2462"/>
      <c r="W383" s="2462"/>
      <c r="X383" s="2462"/>
      <c r="Y383" s="2462"/>
      <c r="Z383" s="2462"/>
      <c r="AA383" s="2462"/>
      <c r="AB383" s="2462"/>
      <c r="AC383" s="2462"/>
      <c r="AD383" s="2462"/>
      <c r="AE383" s="2462"/>
      <c r="AF383" s="2462"/>
      <c r="AG383" s="2462"/>
      <c r="AH383" s="2462"/>
      <c r="AI383" s="2462"/>
      <c r="AJ383" s="2462"/>
      <c r="AK383" s="601"/>
      <c r="AL383" s="601"/>
      <c r="AM383" s="601"/>
      <c r="AN383" s="595"/>
      <c r="AO383" s="691" t="s">
        <v>461</v>
      </c>
      <c r="AP383" s="692">
        <f>IF(C462="Yes",5,0)</f>
        <v>0</v>
      </c>
    </row>
    <row r="384" spans="1:46" s="549" customFormat="1" ht="68.099999999999994" customHeight="1">
      <c r="A384" s="601"/>
      <c r="B384" s="609"/>
      <c r="C384" s="2462"/>
      <c r="D384" s="2462"/>
      <c r="E384" s="2462"/>
      <c r="F384" s="2462"/>
      <c r="G384" s="2462"/>
      <c r="H384" s="2462"/>
      <c r="I384" s="2462"/>
      <c r="J384" s="2462"/>
      <c r="K384" s="2462"/>
      <c r="L384" s="2462"/>
      <c r="M384" s="2462"/>
      <c r="N384" s="2462"/>
      <c r="O384" s="2462"/>
      <c r="P384" s="2462"/>
      <c r="Q384" s="2462"/>
      <c r="R384" s="2462"/>
      <c r="S384" s="2462"/>
      <c r="T384" s="2462"/>
      <c r="U384" s="2462"/>
      <c r="V384" s="2462"/>
      <c r="W384" s="2462"/>
      <c r="X384" s="2462"/>
      <c r="Y384" s="2462"/>
      <c r="Z384" s="2462"/>
      <c r="AA384" s="2462"/>
      <c r="AB384" s="2462"/>
      <c r="AC384" s="2462"/>
      <c r="AD384" s="2462"/>
      <c r="AE384" s="2462"/>
      <c r="AF384" s="2462"/>
      <c r="AG384" s="2462"/>
      <c r="AH384" s="2462"/>
      <c r="AI384" s="2462"/>
      <c r="AJ384" s="2462"/>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63">
        <f>Application!DU810-U387</f>
        <v>296</v>
      </c>
      <c r="V386" s="2463"/>
      <c r="W386" s="2463"/>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4">
        <f>IF(Application!D211="SRO",Application!DU763,Application!AG764)</f>
        <v>0</v>
      </c>
      <c r="V387" s="2464"/>
      <c r="W387" s="246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5">
        <f>IF(AP388&gt;0,AP388,0)</f>
        <v>0</v>
      </c>
      <c r="AR388" s="2465"/>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41" t="s">
        <v>1451</v>
      </c>
      <c r="G390" s="2441"/>
      <c r="H390" s="2441"/>
      <c r="I390" s="2441"/>
      <c r="J390" s="2441"/>
      <c r="K390" s="2441"/>
      <c r="L390" s="2441"/>
      <c r="M390" s="2441"/>
      <c r="N390" s="2441"/>
      <c r="O390" s="2441"/>
      <c r="P390" s="2441"/>
      <c r="Q390" s="2441"/>
      <c r="R390" s="2441"/>
      <c r="S390" s="2441"/>
      <c r="T390" s="2441"/>
      <c r="U390" s="2441"/>
      <c r="V390" s="2441"/>
      <c r="W390" s="2441"/>
      <c r="X390" s="2441"/>
      <c r="Y390" s="2441"/>
      <c r="Z390" s="2441"/>
      <c r="AA390" s="2441"/>
      <c r="AB390" s="2441"/>
      <c r="AC390" s="2441"/>
      <c r="AD390" s="2441"/>
      <c r="AE390" s="2441"/>
      <c r="AF390" s="244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2"/>
      <c r="G391" s="2442"/>
      <c r="H391" s="2442"/>
      <c r="I391" s="2442"/>
      <c r="J391" s="2442"/>
      <c r="K391" s="2442"/>
      <c r="L391" s="2442"/>
      <c r="M391" s="2442"/>
      <c r="N391" s="2442"/>
      <c r="O391" s="2442"/>
      <c r="P391" s="2442"/>
      <c r="Q391" s="2442"/>
      <c r="R391" s="2442"/>
      <c r="S391" s="2442"/>
      <c r="T391" s="2442"/>
      <c r="U391" s="2442"/>
      <c r="V391" s="2442"/>
      <c r="W391" s="2442"/>
      <c r="X391" s="2442"/>
      <c r="Y391" s="2442"/>
      <c r="Z391" s="2442"/>
      <c r="AA391" s="2442"/>
      <c r="AB391" s="2442"/>
      <c r="AC391" s="2442"/>
      <c r="AD391" s="2442"/>
      <c r="AE391" s="2442"/>
      <c r="AF391" s="2442"/>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2"/>
      <c r="G392" s="2442"/>
      <c r="H392" s="2442"/>
      <c r="I392" s="2442"/>
      <c r="J392" s="2442"/>
      <c r="K392" s="2442"/>
      <c r="L392" s="2442"/>
      <c r="M392" s="2442"/>
      <c r="N392" s="2442"/>
      <c r="O392" s="2442"/>
      <c r="P392" s="2442"/>
      <c r="Q392" s="2442"/>
      <c r="R392" s="2442"/>
      <c r="S392" s="2442"/>
      <c r="T392" s="2442"/>
      <c r="U392" s="2442"/>
      <c r="V392" s="2442"/>
      <c r="W392" s="2442"/>
      <c r="X392" s="2442"/>
      <c r="Y392" s="2442"/>
      <c r="Z392" s="2442"/>
      <c r="AA392" s="2442"/>
      <c r="AB392" s="2442"/>
      <c r="AC392" s="2442"/>
      <c r="AD392" s="2442"/>
      <c r="AE392" s="2442"/>
      <c r="AF392" s="2442"/>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2"/>
      <c r="G393" s="2442"/>
      <c r="H393" s="2442"/>
      <c r="I393" s="2442"/>
      <c r="J393" s="2442"/>
      <c r="K393" s="2442"/>
      <c r="L393" s="2442"/>
      <c r="M393" s="2442"/>
      <c r="N393" s="2442"/>
      <c r="O393" s="2442"/>
      <c r="P393" s="2442"/>
      <c r="Q393" s="2442"/>
      <c r="R393" s="2442"/>
      <c r="S393" s="2442"/>
      <c r="T393" s="2442"/>
      <c r="U393" s="2442"/>
      <c r="V393" s="2442"/>
      <c r="W393" s="2442"/>
      <c r="X393" s="2442"/>
      <c r="Y393" s="2442"/>
      <c r="Z393" s="2442"/>
      <c r="AA393" s="2442"/>
      <c r="AB393" s="2442"/>
      <c r="AC393" s="2442"/>
      <c r="AD393" s="2442"/>
      <c r="AE393" s="2442"/>
      <c r="AF393" s="2442"/>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6" t="s">
        <v>591</v>
      </c>
      <c r="D394" s="2413"/>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7" t="s">
        <v>1453</v>
      </c>
      <c r="AG394" s="2467"/>
      <c r="AH394" s="2467"/>
      <c r="AI394" s="2467"/>
      <c r="AJ394" s="2467"/>
      <c r="AK394" s="2467"/>
      <c r="AL394" s="246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41" t="s">
        <v>1454</v>
      </c>
      <c r="G397" s="2441"/>
      <c r="H397" s="2441"/>
      <c r="I397" s="2441"/>
      <c r="J397" s="2441"/>
      <c r="K397" s="2441"/>
      <c r="L397" s="2441"/>
      <c r="M397" s="2441"/>
      <c r="N397" s="2441"/>
      <c r="O397" s="2441"/>
      <c r="P397" s="2441"/>
      <c r="Q397" s="2441"/>
      <c r="R397" s="2441"/>
      <c r="S397" s="2441"/>
      <c r="T397" s="2441"/>
      <c r="U397" s="2441"/>
      <c r="V397" s="2441"/>
      <c r="W397" s="2441"/>
      <c r="X397" s="2441"/>
      <c r="Y397" s="2441"/>
      <c r="Z397" s="2441"/>
      <c r="AA397" s="2441"/>
      <c r="AB397" s="2441"/>
      <c r="AC397" s="2441"/>
      <c r="AD397" s="2441"/>
      <c r="AE397" s="2441"/>
      <c r="AF397" s="244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2"/>
      <c r="G398" s="2442"/>
      <c r="H398" s="2442"/>
      <c r="I398" s="2442"/>
      <c r="J398" s="2442"/>
      <c r="K398" s="2442"/>
      <c r="L398" s="2442"/>
      <c r="M398" s="2442"/>
      <c r="N398" s="2442"/>
      <c r="O398" s="2442"/>
      <c r="P398" s="2442"/>
      <c r="Q398" s="2442"/>
      <c r="R398" s="2442"/>
      <c r="S398" s="2442"/>
      <c r="T398" s="2442"/>
      <c r="U398" s="2442"/>
      <c r="V398" s="2442"/>
      <c r="W398" s="2442"/>
      <c r="X398" s="2442"/>
      <c r="Y398" s="2442"/>
      <c r="Z398" s="2442"/>
      <c r="AA398" s="2442"/>
      <c r="AB398" s="2442"/>
      <c r="AC398" s="2442"/>
      <c r="AD398" s="2442"/>
      <c r="AE398" s="2442"/>
      <c r="AF398" s="2442"/>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2"/>
      <c r="G399" s="2442"/>
      <c r="H399" s="2442"/>
      <c r="I399" s="2442"/>
      <c r="J399" s="2442"/>
      <c r="K399" s="2442"/>
      <c r="L399" s="2442"/>
      <c r="M399" s="2442"/>
      <c r="N399" s="2442"/>
      <c r="O399" s="2442"/>
      <c r="P399" s="2442"/>
      <c r="Q399" s="2442"/>
      <c r="R399" s="2442"/>
      <c r="S399" s="2442"/>
      <c r="T399" s="2442"/>
      <c r="U399" s="2442"/>
      <c r="V399" s="2442"/>
      <c r="W399" s="2442"/>
      <c r="X399" s="2442"/>
      <c r="Y399" s="2442"/>
      <c r="Z399" s="2442"/>
      <c r="AA399" s="2442"/>
      <c r="AB399" s="2442"/>
      <c r="AC399" s="2442"/>
      <c r="AD399" s="2442"/>
      <c r="AE399" s="2442"/>
      <c r="AF399" s="2442"/>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2"/>
      <c r="G400" s="2442"/>
      <c r="H400" s="2442"/>
      <c r="I400" s="2442"/>
      <c r="J400" s="2442"/>
      <c r="K400" s="2442"/>
      <c r="L400" s="2442"/>
      <c r="M400" s="2442"/>
      <c r="N400" s="2442"/>
      <c r="O400" s="2442"/>
      <c r="P400" s="2442"/>
      <c r="Q400" s="2442"/>
      <c r="R400" s="2442"/>
      <c r="S400" s="2442"/>
      <c r="T400" s="2442"/>
      <c r="U400" s="2442"/>
      <c r="V400" s="2442"/>
      <c r="W400" s="2442"/>
      <c r="X400" s="2442"/>
      <c r="Y400" s="2442"/>
      <c r="Z400" s="2442"/>
      <c r="AA400" s="2442"/>
      <c r="AB400" s="2442"/>
      <c r="AC400" s="2442"/>
      <c r="AD400" s="2442"/>
      <c r="AE400" s="2442"/>
      <c r="AF400" s="2442"/>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2"/>
      <c r="G401" s="2442"/>
      <c r="H401" s="2442"/>
      <c r="I401" s="2442"/>
      <c r="J401" s="2442"/>
      <c r="K401" s="2442"/>
      <c r="L401" s="2442"/>
      <c r="M401" s="2442"/>
      <c r="N401" s="2442"/>
      <c r="O401" s="2442"/>
      <c r="P401" s="2442"/>
      <c r="Q401" s="2442"/>
      <c r="R401" s="2442"/>
      <c r="S401" s="2442"/>
      <c r="T401" s="2442"/>
      <c r="U401" s="2442"/>
      <c r="V401" s="2442"/>
      <c r="W401" s="2442"/>
      <c r="X401" s="2442"/>
      <c r="Y401" s="2442"/>
      <c r="Z401" s="2442"/>
      <c r="AA401" s="2442"/>
      <c r="AB401" s="2442"/>
      <c r="AC401" s="2442"/>
      <c r="AD401" s="2442"/>
      <c r="AE401" s="2442"/>
      <c r="AF401" s="2442"/>
      <c r="AL401" s="728"/>
      <c r="AN401" s="595"/>
      <c r="BS401" s="30"/>
      <c r="BT401" s="30"/>
      <c r="BU401" s="14"/>
      <c r="BV401" s="14"/>
      <c r="BW401" s="14"/>
      <c r="BX401" s="14"/>
      <c r="BY401" s="14"/>
      <c r="BZ401" s="14"/>
      <c r="CA401" s="14"/>
      <c r="CB401" s="14"/>
      <c r="CC401" s="14"/>
    </row>
    <row r="402" spans="1:81" s="549" customFormat="1" ht="12.75" customHeight="1">
      <c r="A402" s="536"/>
      <c r="B402" s="14"/>
      <c r="C402" s="2466" t="s">
        <v>591</v>
      </c>
      <c r="D402" s="2413"/>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7" t="s">
        <v>1453</v>
      </c>
      <c r="AG402" s="2467"/>
      <c r="AH402" s="2467"/>
      <c r="AI402" s="2467"/>
      <c r="AJ402" s="2467"/>
      <c r="AK402" s="2467"/>
      <c r="AL402" s="246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41" t="s">
        <v>1456</v>
      </c>
      <c r="G405" s="2441"/>
      <c r="H405" s="2441"/>
      <c r="I405" s="2441"/>
      <c r="J405" s="2441"/>
      <c r="K405" s="2441"/>
      <c r="L405" s="2441"/>
      <c r="M405" s="2441"/>
      <c r="N405" s="2441"/>
      <c r="O405" s="2441"/>
      <c r="P405" s="2441"/>
      <c r="Q405" s="2441"/>
      <c r="R405" s="2441"/>
      <c r="S405" s="2441"/>
      <c r="T405" s="2441"/>
      <c r="U405" s="2441"/>
      <c r="V405" s="2441"/>
      <c r="W405" s="2441"/>
      <c r="X405" s="2441"/>
      <c r="Y405" s="2441"/>
      <c r="Z405" s="2441"/>
      <c r="AA405" s="2441"/>
      <c r="AB405" s="2441"/>
      <c r="AC405" s="2441"/>
      <c r="AD405" s="2441"/>
      <c r="AE405" s="2441"/>
      <c r="AF405" s="244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2"/>
      <c r="G406" s="2442"/>
      <c r="H406" s="2442"/>
      <c r="I406" s="2442"/>
      <c r="J406" s="2442"/>
      <c r="K406" s="2442"/>
      <c r="L406" s="2442"/>
      <c r="M406" s="2442"/>
      <c r="N406" s="2442"/>
      <c r="O406" s="2442"/>
      <c r="P406" s="2442"/>
      <c r="Q406" s="2442"/>
      <c r="R406" s="2442"/>
      <c r="S406" s="2442"/>
      <c r="T406" s="2442"/>
      <c r="U406" s="2442"/>
      <c r="V406" s="2442"/>
      <c r="W406" s="2442"/>
      <c r="X406" s="2442"/>
      <c r="Y406" s="2442"/>
      <c r="Z406" s="2442"/>
      <c r="AA406" s="2442"/>
      <c r="AB406" s="2442"/>
      <c r="AC406" s="2442"/>
      <c r="AD406" s="2442"/>
      <c r="AE406" s="2442"/>
      <c r="AF406" s="2442"/>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2"/>
      <c r="G407" s="2442"/>
      <c r="H407" s="2442"/>
      <c r="I407" s="2442"/>
      <c r="J407" s="2442"/>
      <c r="K407" s="2442"/>
      <c r="L407" s="2442"/>
      <c r="M407" s="2442"/>
      <c r="N407" s="2442"/>
      <c r="O407" s="2442"/>
      <c r="P407" s="2442"/>
      <c r="Q407" s="2442"/>
      <c r="R407" s="2442"/>
      <c r="S407" s="2442"/>
      <c r="T407" s="2442"/>
      <c r="U407" s="2442"/>
      <c r="V407" s="2442"/>
      <c r="W407" s="2442"/>
      <c r="X407" s="2442"/>
      <c r="Y407" s="2442"/>
      <c r="Z407" s="2442"/>
      <c r="AA407" s="2442"/>
      <c r="AB407" s="2442"/>
      <c r="AC407" s="2442"/>
      <c r="AD407" s="2442"/>
      <c r="AE407" s="2442"/>
      <c r="AF407" s="2442"/>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2"/>
      <c r="G408" s="2442"/>
      <c r="H408" s="2442"/>
      <c r="I408" s="2442"/>
      <c r="J408" s="2442"/>
      <c r="K408" s="2442"/>
      <c r="L408" s="2442"/>
      <c r="M408" s="2442"/>
      <c r="N408" s="2442"/>
      <c r="O408" s="2442"/>
      <c r="P408" s="2442"/>
      <c r="Q408" s="2442"/>
      <c r="R408" s="2442"/>
      <c r="S408" s="2442"/>
      <c r="T408" s="2442"/>
      <c r="U408" s="2442"/>
      <c r="V408" s="2442"/>
      <c r="W408" s="2442"/>
      <c r="X408" s="2442"/>
      <c r="Y408" s="2442"/>
      <c r="Z408" s="2442"/>
      <c r="AA408" s="2442"/>
      <c r="AB408" s="2442"/>
      <c r="AC408" s="2442"/>
      <c r="AD408" s="2442"/>
      <c r="AE408" s="2442"/>
      <c r="AF408" s="2442"/>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2"/>
      <c r="G409" s="2442"/>
      <c r="H409" s="2442"/>
      <c r="I409" s="2442"/>
      <c r="J409" s="2442"/>
      <c r="K409" s="2442"/>
      <c r="L409" s="2442"/>
      <c r="M409" s="2442"/>
      <c r="N409" s="2442"/>
      <c r="O409" s="2442"/>
      <c r="P409" s="2442"/>
      <c r="Q409" s="2442"/>
      <c r="R409" s="2442"/>
      <c r="S409" s="2442"/>
      <c r="T409" s="2442"/>
      <c r="U409" s="2442"/>
      <c r="V409" s="2442"/>
      <c r="W409" s="2442"/>
      <c r="X409" s="2442"/>
      <c r="Y409" s="2442"/>
      <c r="Z409" s="2442"/>
      <c r="AA409" s="2442"/>
      <c r="AB409" s="2442"/>
      <c r="AC409" s="2442"/>
      <c r="AD409" s="2442"/>
      <c r="AE409" s="2442"/>
      <c r="AF409" s="2442"/>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6" t="s">
        <v>545</v>
      </c>
      <c r="D410" s="2413"/>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7" t="s">
        <v>1458</v>
      </c>
      <c r="AG410" s="2467"/>
      <c r="AH410" s="2467"/>
      <c r="AI410" s="2467"/>
      <c r="AJ410" s="2467"/>
      <c r="AK410" s="2467"/>
      <c r="AL410" s="246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6" t="s">
        <v>591</v>
      </c>
      <c r="D412" s="2413"/>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7" t="s">
        <v>1453</v>
      </c>
      <c r="AG412" s="2467"/>
      <c r="AH412" s="2467"/>
      <c r="AI412" s="2467"/>
      <c r="AJ412" s="2467"/>
      <c r="AK412" s="2467"/>
      <c r="AL412" s="246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41" t="s">
        <v>1462</v>
      </c>
      <c r="G416" s="2441"/>
      <c r="H416" s="2441"/>
      <c r="I416" s="2441"/>
      <c r="J416" s="2441"/>
      <c r="K416" s="2441"/>
      <c r="L416" s="2441"/>
      <c r="M416" s="2441"/>
      <c r="N416" s="2441"/>
      <c r="O416" s="2441"/>
      <c r="P416" s="2441"/>
      <c r="Q416" s="2441"/>
      <c r="R416" s="2441"/>
      <c r="S416" s="2441"/>
      <c r="T416" s="2441"/>
      <c r="U416" s="2441"/>
      <c r="V416" s="2441"/>
      <c r="W416" s="2441"/>
      <c r="X416" s="2441"/>
      <c r="Y416" s="2441"/>
      <c r="Z416" s="2441"/>
      <c r="AA416" s="2441"/>
      <c r="AB416" s="2441"/>
      <c r="AC416" s="2441"/>
      <c r="AD416" s="2441"/>
      <c r="AE416" s="2441"/>
      <c r="AF416" s="244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2"/>
      <c r="G417" s="2442"/>
      <c r="H417" s="2442"/>
      <c r="I417" s="2442"/>
      <c r="J417" s="2442"/>
      <c r="K417" s="2442"/>
      <c r="L417" s="2442"/>
      <c r="M417" s="2442"/>
      <c r="N417" s="2442"/>
      <c r="O417" s="2442"/>
      <c r="P417" s="2442"/>
      <c r="Q417" s="2442"/>
      <c r="R417" s="2442"/>
      <c r="S417" s="2442"/>
      <c r="T417" s="2442"/>
      <c r="U417" s="2442"/>
      <c r="V417" s="2442"/>
      <c r="W417" s="2442"/>
      <c r="X417" s="2442"/>
      <c r="Y417" s="2442"/>
      <c r="Z417" s="2442"/>
      <c r="AA417" s="2442"/>
      <c r="AB417" s="2442"/>
      <c r="AC417" s="2442"/>
      <c r="AD417" s="2442"/>
      <c r="AE417" s="2442"/>
      <c r="AF417" s="2442"/>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2"/>
      <c r="G418" s="2442"/>
      <c r="H418" s="2442"/>
      <c r="I418" s="2442"/>
      <c r="J418" s="2442"/>
      <c r="K418" s="2442"/>
      <c r="L418" s="2442"/>
      <c r="M418" s="2442"/>
      <c r="N418" s="2442"/>
      <c r="O418" s="2442"/>
      <c r="P418" s="2442"/>
      <c r="Q418" s="2442"/>
      <c r="R418" s="2442"/>
      <c r="S418" s="2442"/>
      <c r="T418" s="2442"/>
      <c r="U418" s="2442"/>
      <c r="V418" s="2442"/>
      <c r="W418" s="2442"/>
      <c r="X418" s="2442"/>
      <c r="Y418" s="2442"/>
      <c r="Z418" s="2442"/>
      <c r="AA418" s="2442"/>
      <c r="AB418" s="2442"/>
      <c r="AC418" s="2442"/>
      <c r="AD418" s="2442"/>
      <c r="AE418" s="2442"/>
      <c r="AF418" s="2442"/>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2"/>
      <c r="G419" s="2442"/>
      <c r="H419" s="2442"/>
      <c r="I419" s="2442"/>
      <c r="J419" s="2442"/>
      <c r="K419" s="2442"/>
      <c r="L419" s="2442"/>
      <c r="M419" s="2442"/>
      <c r="N419" s="2442"/>
      <c r="O419" s="2442"/>
      <c r="P419" s="2442"/>
      <c r="Q419" s="2442"/>
      <c r="R419" s="2442"/>
      <c r="S419" s="2442"/>
      <c r="T419" s="2442"/>
      <c r="U419" s="2442"/>
      <c r="V419" s="2442"/>
      <c r="W419" s="2442"/>
      <c r="X419" s="2442"/>
      <c r="Y419" s="2442"/>
      <c r="Z419" s="2442"/>
      <c r="AA419" s="2442"/>
      <c r="AB419" s="2442"/>
      <c r="AC419" s="2442"/>
      <c r="AD419" s="2442"/>
      <c r="AE419" s="2442"/>
      <c r="AF419" s="2442"/>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6" t="s">
        <v>591</v>
      </c>
      <c r="D420" s="2413"/>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7" t="s">
        <v>1453</v>
      </c>
      <c r="AG420" s="2467"/>
      <c r="AH420" s="2467"/>
      <c r="AI420" s="2467"/>
      <c r="AJ420" s="2467"/>
      <c r="AK420" s="2467"/>
      <c r="AL420" s="246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6" t="s">
        <v>545</v>
      </c>
      <c r="D422" s="2413"/>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7" t="s">
        <v>1465</v>
      </c>
      <c r="AG422" s="2467"/>
      <c r="AH422" s="2467"/>
      <c r="AI422" s="2467"/>
      <c r="AJ422" s="2467"/>
      <c r="AK422" s="2467"/>
      <c r="AL422" s="246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6" t="s">
        <v>591</v>
      </c>
      <c r="D425" s="2413"/>
      <c r="E425" s="711" t="s">
        <v>1466</v>
      </c>
      <c r="F425" s="2441" t="s">
        <v>1467</v>
      </c>
      <c r="G425" s="2441"/>
      <c r="H425" s="2441"/>
      <c r="I425" s="2441"/>
      <c r="J425" s="2441"/>
      <c r="K425" s="2441"/>
      <c r="L425" s="2441"/>
      <c r="M425" s="2441"/>
      <c r="N425" s="2441"/>
      <c r="O425" s="2441"/>
      <c r="P425" s="2441"/>
      <c r="Q425" s="2441"/>
      <c r="R425" s="2441"/>
      <c r="S425" s="2441"/>
      <c r="T425" s="2441"/>
      <c r="U425" s="2441"/>
      <c r="V425" s="2441"/>
      <c r="W425" s="2441"/>
      <c r="X425" s="2441"/>
      <c r="Y425" s="2441"/>
      <c r="Z425" s="2441"/>
      <c r="AA425" s="2441"/>
      <c r="AB425" s="2441"/>
      <c r="AC425" s="2441"/>
      <c r="AD425" s="2441"/>
      <c r="AE425" s="244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2"/>
      <c r="G426" s="2442"/>
      <c r="H426" s="2442"/>
      <c r="I426" s="2442"/>
      <c r="J426" s="2442"/>
      <c r="K426" s="2442"/>
      <c r="L426" s="2442"/>
      <c r="M426" s="2442"/>
      <c r="N426" s="2442"/>
      <c r="O426" s="2442"/>
      <c r="P426" s="2442"/>
      <c r="Q426" s="2442"/>
      <c r="R426" s="2442"/>
      <c r="S426" s="2442"/>
      <c r="T426" s="2442"/>
      <c r="U426" s="2442"/>
      <c r="V426" s="2442"/>
      <c r="W426" s="2442"/>
      <c r="X426" s="2442"/>
      <c r="Y426" s="2442"/>
      <c r="Z426" s="2442"/>
      <c r="AA426" s="2442"/>
      <c r="AB426" s="2442"/>
      <c r="AC426" s="2442"/>
      <c r="AD426" s="2442"/>
      <c r="AE426" s="2442"/>
      <c r="AF426" s="2392" t="s">
        <v>1453</v>
      </c>
      <c r="AG426" s="2392"/>
      <c r="AH426" s="2392"/>
      <c r="AI426" s="2392"/>
      <c r="AJ426" s="2392"/>
      <c r="AK426" s="2392"/>
      <c r="AL426" s="2473"/>
      <c r="AM426" s="568"/>
      <c r="AN426" s="595"/>
      <c r="BS426" s="568"/>
      <c r="BT426" s="568"/>
      <c r="BY426" s="568"/>
      <c r="BZ426" s="568"/>
      <c r="CA426" s="568"/>
      <c r="CB426" s="568"/>
      <c r="CC426" s="568"/>
    </row>
    <row r="427" spans="1:81" s="549" customFormat="1" ht="12.75" customHeight="1">
      <c r="A427" s="536"/>
      <c r="B427" s="14"/>
      <c r="C427" s="727"/>
      <c r="D427" s="14"/>
      <c r="E427" s="687"/>
      <c r="F427" s="2442"/>
      <c r="G427" s="2442"/>
      <c r="H427" s="2442"/>
      <c r="I427" s="2442"/>
      <c r="J427" s="2442"/>
      <c r="K427" s="2442"/>
      <c r="L427" s="2442"/>
      <c r="M427" s="2442"/>
      <c r="N427" s="2442"/>
      <c r="O427" s="2442"/>
      <c r="P427" s="2442"/>
      <c r="Q427" s="2442"/>
      <c r="R427" s="2442"/>
      <c r="S427" s="2442"/>
      <c r="T427" s="2442"/>
      <c r="U427" s="2442"/>
      <c r="V427" s="2442"/>
      <c r="W427" s="2442"/>
      <c r="X427" s="2442"/>
      <c r="Y427" s="2442"/>
      <c r="Z427" s="2442"/>
      <c r="AA427" s="2442"/>
      <c r="AB427" s="2442"/>
      <c r="AC427" s="2442"/>
      <c r="AD427" s="2442"/>
      <c r="AE427" s="2442"/>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3"/>
      <c r="G428" s="2443"/>
      <c r="H428" s="2443"/>
      <c r="I428" s="2443"/>
      <c r="J428" s="2443"/>
      <c r="K428" s="2443"/>
      <c r="L428" s="2443"/>
      <c r="M428" s="2443"/>
      <c r="N428" s="2443"/>
      <c r="O428" s="2443"/>
      <c r="P428" s="2443"/>
      <c r="Q428" s="2443"/>
      <c r="R428" s="2443"/>
      <c r="S428" s="2443"/>
      <c r="T428" s="2443"/>
      <c r="U428" s="2443"/>
      <c r="V428" s="2443"/>
      <c r="W428" s="2443"/>
      <c r="X428" s="2443"/>
      <c r="Y428" s="2443"/>
      <c r="Z428" s="2443"/>
      <c r="AA428" s="2443"/>
      <c r="AB428" s="2443"/>
      <c r="AC428" s="2443"/>
      <c r="AD428" s="2443"/>
      <c r="AE428" s="244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41" t="s">
        <v>1469</v>
      </c>
      <c r="G430" s="2441"/>
      <c r="H430" s="2441"/>
      <c r="I430" s="2441"/>
      <c r="J430" s="2441"/>
      <c r="K430" s="2441"/>
      <c r="L430" s="2441"/>
      <c r="M430" s="2441"/>
      <c r="N430" s="2441"/>
      <c r="O430" s="2441"/>
      <c r="P430" s="2441"/>
      <c r="Q430" s="2441"/>
      <c r="R430" s="2441"/>
      <c r="S430" s="2441"/>
      <c r="T430" s="2441"/>
      <c r="U430" s="2441"/>
      <c r="V430" s="2441"/>
      <c r="W430" s="2441"/>
      <c r="X430" s="2441"/>
      <c r="Y430" s="2441"/>
      <c r="Z430" s="2441"/>
      <c r="AA430" s="2441"/>
      <c r="AB430" s="2441"/>
      <c r="AC430" s="2441"/>
      <c r="AD430" s="2441"/>
      <c r="AE430" s="2441"/>
      <c r="AF430" s="743"/>
      <c r="AG430" s="743"/>
      <c r="AH430" s="743"/>
      <c r="AI430" s="743"/>
      <c r="AJ430" s="743"/>
      <c r="AK430" s="743"/>
      <c r="AL430" s="744"/>
      <c r="AM430" s="568"/>
    </row>
    <row r="431" spans="1:81">
      <c r="A431" s="536"/>
      <c r="C431" s="727"/>
      <c r="E431" s="687"/>
      <c r="F431" s="2442"/>
      <c r="G431" s="2442"/>
      <c r="H431" s="2442"/>
      <c r="I431" s="2442"/>
      <c r="J431" s="2442"/>
      <c r="K431" s="2442"/>
      <c r="L431" s="2442"/>
      <c r="M431" s="2442"/>
      <c r="N431" s="2442"/>
      <c r="O431" s="2442"/>
      <c r="P431" s="2442"/>
      <c r="Q431" s="2442"/>
      <c r="R431" s="2442"/>
      <c r="S431" s="2442"/>
      <c r="T431" s="2442"/>
      <c r="U431" s="2442"/>
      <c r="V431" s="2442"/>
      <c r="W431" s="2442"/>
      <c r="X431" s="2442"/>
      <c r="Y431" s="2442"/>
      <c r="Z431" s="2442"/>
      <c r="AA431" s="2442"/>
      <c r="AB431" s="2442"/>
      <c r="AC431" s="2442"/>
      <c r="AD431" s="2442"/>
      <c r="AE431" s="2442"/>
      <c r="AF431" s="539"/>
      <c r="AG431" s="536"/>
      <c r="AH431" s="549"/>
      <c r="AI431" s="549"/>
      <c r="AJ431" s="549"/>
      <c r="AK431" s="549"/>
      <c r="AL431" s="728"/>
      <c r="AM431" s="568"/>
    </row>
    <row r="432" spans="1:81" s="549" customFormat="1" ht="12.75" customHeight="1">
      <c r="A432" s="536"/>
      <c r="B432" s="14"/>
      <c r="C432" s="727"/>
      <c r="D432" s="14"/>
      <c r="E432" s="687"/>
      <c r="F432" s="2442"/>
      <c r="G432" s="2442"/>
      <c r="H432" s="2442"/>
      <c r="I432" s="2442"/>
      <c r="J432" s="2442"/>
      <c r="K432" s="2442"/>
      <c r="L432" s="2442"/>
      <c r="M432" s="2442"/>
      <c r="N432" s="2442"/>
      <c r="O432" s="2442"/>
      <c r="P432" s="2442"/>
      <c r="Q432" s="2442"/>
      <c r="R432" s="2442"/>
      <c r="S432" s="2442"/>
      <c r="T432" s="2442"/>
      <c r="U432" s="2442"/>
      <c r="V432" s="2442"/>
      <c r="W432" s="2442"/>
      <c r="X432" s="2442"/>
      <c r="Y432" s="2442"/>
      <c r="Z432" s="2442"/>
      <c r="AA432" s="2442"/>
      <c r="AB432" s="2442"/>
      <c r="AC432" s="2442"/>
      <c r="AD432" s="2442"/>
      <c r="AE432" s="2442"/>
      <c r="AL432" s="728"/>
      <c r="AM432" s="568"/>
      <c r="AN432" s="595"/>
    </row>
    <row r="433" spans="1:60" s="549" customFormat="1" ht="12.75" customHeight="1">
      <c r="A433" s="536"/>
      <c r="B433" s="14"/>
      <c r="C433" s="735"/>
      <c r="F433" s="2442"/>
      <c r="G433" s="2442"/>
      <c r="H433" s="2442"/>
      <c r="I433" s="2442"/>
      <c r="J433" s="2442"/>
      <c r="K433" s="2442"/>
      <c r="L433" s="2442"/>
      <c r="M433" s="2442"/>
      <c r="N433" s="2442"/>
      <c r="O433" s="2442"/>
      <c r="P433" s="2442"/>
      <c r="Q433" s="2442"/>
      <c r="R433" s="2442"/>
      <c r="S433" s="2442"/>
      <c r="T433" s="2442"/>
      <c r="U433" s="2442"/>
      <c r="V433" s="2442"/>
      <c r="W433" s="2442"/>
      <c r="X433" s="2442"/>
      <c r="Y433" s="2442"/>
      <c r="Z433" s="2442"/>
      <c r="AA433" s="2442"/>
      <c r="AB433" s="2442"/>
      <c r="AC433" s="2442"/>
      <c r="AD433" s="2442"/>
      <c r="AE433" s="2442"/>
      <c r="AL433" s="728"/>
      <c r="AM433" s="568"/>
      <c r="AN433" s="595"/>
    </row>
    <row r="434" spans="1:60" s="549" customFormat="1" ht="12.75" customHeight="1">
      <c r="A434" s="536"/>
      <c r="B434" s="14"/>
      <c r="C434" s="2466" t="s">
        <v>591</v>
      </c>
      <c r="D434" s="2413"/>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2" t="s">
        <v>1453</v>
      </c>
      <c r="AG434" s="2392"/>
      <c r="AH434" s="2392"/>
      <c r="AI434" s="2392"/>
      <c r="AJ434" s="2392"/>
      <c r="AK434" s="2392"/>
      <c r="AL434" s="2473"/>
      <c r="AM434" s="568"/>
      <c r="AN434" s="595"/>
    </row>
    <row r="435" spans="1:60" s="549" customFormat="1" ht="12.75" customHeight="1">
      <c r="A435" s="536"/>
      <c r="B435" s="14"/>
      <c r="C435" s="735"/>
      <c r="AL435" s="728"/>
      <c r="AM435" s="568"/>
      <c r="AN435" s="595"/>
    </row>
    <row r="436" spans="1:60" s="549" customFormat="1" ht="12.75" customHeight="1">
      <c r="A436" s="536"/>
      <c r="B436" s="14"/>
      <c r="C436" s="2466" t="s">
        <v>591</v>
      </c>
      <c r="D436" s="2413"/>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2" t="s">
        <v>1465</v>
      </c>
      <c r="AG436" s="2392"/>
      <c r="AH436" s="2392"/>
      <c r="AI436" s="2392"/>
      <c r="AJ436" s="2392"/>
      <c r="AK436" s="2392"/>
      <c r="AL436" s="247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41" t="s">
        <v>1473</v>
      </c>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710"/>
      <c r="AG440" s="710"/>
      <c r="AH440" s="710"/>
      <c r="AI440" s="710"/>
      <c r="AJ440" s="710"/>
      <c r="AK440" s="710"/>
      <c r="AL440" s="741"/>
      <c r="AM440" s="568"/>
      <c r="AN440" s="595"/>
    </row>
    <row r="441" spans="1:60" s="549" customFormat="1" ht="12.75" customHeight="1">
      <c r="A441" s="536"/>
      <c r="B441" s="14"/>
      <c r="C441" s="727"/>
      <c r="D441" s="14"/>
      <c r="E441" s="687"/>
      <c r="F441" s="2442"/>
      <c r="G441" s="2442"/>
      <c r="H441" s="2442"/>
      <c r="I441" s="2442"/>
      <c r="J441" s="2442"/>
      <c r="K441" s="2442"/>
      <c r="L441" s="2442"/>
      <c r="M441" s="2442"/>
      <c r="N441" s="2442"/>
      <c r="O441" s="2442"/>
      <c r="P441" s="2442"/>
      <c r="Q441" s="2442"/>
      <c r="R441" s="2442"/>
      <c r="S441" s="2442"/>
      <c r="T441" s="2442"/>
      <c r="U441" s="2442"/>
      <c r="V441" s="2442"/>
      <c r="W441" s="2442"/>
      <c r="X441" s="2442"/>
      <c r="Y441" s="2442"/>
      <c r="Z441" s="2442"/>
      <c r="AA441" s="2442"/>
      <c r="AB441" s="2442"/>
      <c r="AC441" s="2442"/>
      <c r="AD441" s="2442"/>
      <c r="AE441" s="2442"/>
      <c r="AF441" s="539"/>
      <c r="AG441" s="536"/>
      <c r="AL441" s="728"/>
      <c r="AM441" s="568"/>
      <c r="AN441" s="595"/>
    </row>
    <row r="442" spans="1:60" s="549" customFormat="1" ht="12.4" customHeight="1">
      <c r="A442" s="536"/>
      <c r="B442" s="14"/>
      <c r="C442" s="727"/>
      <c r="D442" s="14"/>
      <c r="E442" s="687"/>
      <c r="F442" s="2442"/>
      <c r="G442" s="2442"/>
      <c r="H442" s="2442"/>
      <c r="I442" s="2442"/>
      <c r="J442" s="2442"/>
      <c r="K442" s="2442"/>
      <c r="L442" s="2442"/>
      <c r="M442" s="2442"/>
      <c r="N442" s="2442"/>
      <c r="O442" s="2442"/>
      <c r="P442" s="2442"/>
      <c r="Q442" s="2442"/>
      <c r="R442" s="2442"/>
      <c r="S442" s="2442"/>
      <c r="T442" s="2442"/>
      <c r="U442" s="2442"/>
      <c r="V442" s="2442"/>
      <c r="W442" s="2442"/>
      <c r="X442" s="2442"/>
      <c r="Y442" s="2442"/>
      <c r="Z442" s="2442"/>
      <c r="AA442" s="2442"/>
      <c r="AB442" s="2442"/>
      <c r="AC442" s="2442"/>
      <c r="AD442" s="2442"/>
      <c r="AE442" s="2442"/>
      <c r="AL442" s="728"/>
      <c r="AM442" s="568"/>
      <c r="AN442" s="595"/>
    </row>
    <row r="443" spans="1:60" s="549" customFormat="1" ht="12.75" customHeight="1">
      <c r="A443" s="536"/>
      <c r="B443" s="14"/>
      <c r="C443" s="2466" t="s">
        <v>591</v>
      </c>
      <c r="D443" s="2413"/>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2" t="s">
        <v>1453</v>
      </c>
      <c r="AG443" s="2392"/>
      <c r="AH443" s="2392"/>
      <c r="AI443" s="2392"/>
      <c r="AJ443" s="2392"/>
      <c r="AK443" s="2392"/>
      <c r="AL443" s="247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41" t="s">
        <v>1476</v>
      </c>
      <c r="G446" s="2441"/>
      <c r="H446" s="2441"/>
      <c r="I446" s="2441"/>
      <c r="J446" s="2441"/>
      <c r="K446" s="2441"/>
      <c r="L446" s="2441"/>
      <c r="M446" s="2441"/>
      <c r="N446" s="2441"/>
      <c r="O446" s="2441"/>
      <c r="P446" s="2441"/>
      <c r="Q446" s="2441"/>
      <c r="R446" s="2441"/>
      <c r="S446" s="2441"/>
      <c r="T446" s="2441"/>
      <c r="U446" s="2441"/>
      <c r="V446" s="2441"/>
      <c r="W446" s="2441"/>
      <c r="X446" s="2441"/>
      <c r="Y446" s="2441"/>
      <c r="Z446" s="2441"/>
      <c r="AA446" s="2441"/>
      <c r="AB446" s="2441"/>
      <c r="AC446" s="2441"/>
      <c r="AD446" s="2441"/>
      <c r="AE446" s="2441"/>
      <c r="AF446" s="743"/>
      <c r="AG446" s="743"/>
      <c r="AH446" s="743"/>
      <c r="AI446" s="743"/>
      <c r="AJ446" s="743"/>
      <c r="AK446" s="743"/>
      <c r="AL446" s="744"/>
      <c r="AM446" s="568"/>
      <c r="AO446" s="549"/>
      <c r="AP446" s="549"/>
      <c r="BD446" s="14"/>
      <c r="BE446" s="14"/>
      <c r="BF446" s="14"/>
      <c r="BG446" s="14"/>
      <c r="BH446" s="14"/>
    </row>
    <row r="447" spans="1:60">
      <c r="A447" s="536"/>
      <c r="C447" s="727"/>
      <c r="E447" s="687"/>
      <c r="F447" s="2442"/>
      <c r="G447" s="2442"/>
      <c r="H447" s="2442"/>
      <c r="I447" s="2442"/>
      <c r="J447" s="2442"/>
      <c r="K447" s="2442"/>
      <c r="L447" s="2442"/>
      <c r="M447" s="2442"/>
      <c r="N447" s="2442"/>
      <c r="O447" s="2442"/>
      <c r="P447" s="2442"/>
      <c r="Q447" s="2442"/>
      <c r="R447" s="2442"/>
      <c r="S447" s="2442"/>
      <c r="T447" s="2442"/>
      <c r="U447" s="2442"/>
      <c r="V447" s="2442"/>
      <c r="W447" s="2442"/>
      <c r="X447" s="2442"/>
      <c r="Y447" s="2442"/>
      <c r="Z447" s="2442"/>
      <c r="AA447" s="2442"/>
      <c r="AB447" s="2442"/>
      <c r="AC447" s="2442"/>
      <c r="AD447" s="2442"/>
      <c r="AE447" s="2442"/>
      <c r="AF447" s="592"/>
      <c r="AG447" s="592"/>
      <c r="AH447" s="592"/>
      <c r="AI447" s="592"/>
      <c r="AJ447" s="592"/>
      <c r="AK447" s="592"/>
      <c r="AL447" s="746"/>
      <c r="AM447" s="568"/>
      <c r="AO447" s="549"/>
      <c r="AP447" s="549"/>
    </row>
    <row r="448" spans="1:60" s="549" customFormat="1" ht="12.75" customHeight="1">
      <c r="A448" s="536"/>
      <c r="B448" s="14"/>
      <c r="C448" s="727"/>
      <c r="D448" s="14"/>
      <c r="E448" s="687"/>
      <c r="F448" s="2442"/>
      <c r="G448" s="2442"/>
      <c r="H448" s="2442"/>
      <c r="I448" s="2442"/>
      <c r="J448" s="2442"/>
      <c r="K448" s="2442"/>
      <c r="L448" s="2442"/>
      <c r="M448" s="2442"/>
      <c r="N448" s="2442"/>
      <c r="O448" s="2442"/>
      <c r="P448" s="2442"/>
      <c r="Q448" s="2442"/>
      <c r="R448" s="2442"/>
      <c r="S448" s="2442"/>
      <c r="T448" s="2442"/>
      <c r="U448" s="2442"/>
      <c r="V448" s="2442"/>
      <c r="W448" s="2442"/>
      <c r="X448" s="2442"/>
      <c r="Y448" s="2442"/>
      <c r="Z448" s="2442"/>
      <c r="AA448" s="2442"/>
      <c r="AB448" s="2442"/>
      <c r="AC448" s="2442"/>
      <c r="AD448" s="2442"/>
      <c r="AE448" s="2442"/>
      <c r="AF448" s="592"/>
      <c r="AG448" s="592"/>
      <c r="AH448" s="592"/>
      <c r="AI448" s="592"/>
      <c r="AJ448" s="592"/>
      <c r="AK448" s="592"/>
      <c r="AL448" s="746"/>
      <c r="AM448" s="568"/>
      <c r="AN448" s="595"/>
    </row>
    <row r="449" spans="1:42" s="549" customFormat="1" ht="12.75" customHeight="1">
      <c r="A449" s="536"/>
      <c r="B449" s="14"/>
      <c r="C449" s="747"/>
      <c r="D449" s="726"/>
      <c r="E449" s="715"/>
      <c r="F449" s="2442"/>
      <c r="G449" s="2442"/>
      <c r="H449" s="2442"/>
      <c r="I449" s="2442"/>
      <c r="J449" s="2442"/>
      <c r="K449" s="2442"/>
      <c r="L449" s="2442"/>
      <c r="M449" s="2442"/>
      <c r="N449" s="2442"/>
      <c r="O449" s="2442"/>
      <c r="P449" s="2442"/>
      <c r="Q449" s="2442"/>
      <c r="R449" s="2442"/>
      <c r="S449" s="2442"/>
      <c r="T449" s="2442"/>
      <c r="U449" s="2442"/>
      <c r="V449" s="2442"/>
      <c r="W449" s="2442"/>
      <c r="X449" s="2442"/>
      <c r="Y449" s="2442"/>
      <c r="Z449" s="2442"/>
      <c r="AA449" s="2442"/>
      <c r="AB449" s="2442"/>
      <c r="AC449" s="2442"/>
      <c r="AD449" s="2442"/>
      <c r="AE449" s="2442"/>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2"/>
      <c r="G450" s="2442"/>
      <c r="H450" s="2442"/>
      <c r="I450" s="2442"/>
      <c r="J450" s="2442"/>
      <c r="K450" s="2442"/>
      <c r="L450" s="2442"/>
      <c r="M450" s="2442"/>
      <c r="N450" s="2442"/>
      <c r="O450" s="2442"/>
      <c r="P450" s="2442"/>
      <c r="Q450" s="2442"/>
      <c r="R450" s="2442"/>
      <c r="S450" s="2442"/>
      <c r="T450" s="2442"/>
      <c r="U450" s="2442"/>
      <c r="V450" s="2442"/>
      <c r="W450" s="2442"/>
      <c r="X450" s="2442"/>
      <c r="Y450" s="2442"/>
      <c r="Z450" s="2442"/>
      <c r="AA450" s="2442"/>
      <c r="AB450" s="2442"/>
      <c r="AC450" s="2442"/>
      <c r="AD450" s="2442"/>
      <c r="AE450" s="2442"/>
      <c r="AF450" s="592"/>
      <c r="AG450" s="592"/>
      <c r="AH450" s="592"/>
      <c r="AI450" s="592"/>
      <c r="AJ450" s="592"/>
      <c r="AK450" s="592"/>
      <c r="AL450" s="746"/>
      <c r="AM450" s="568"/>
      <c r="AN450" s="595"/>
    </row>
    <row r="451" spans="1:42" s="549" customFormat="1" ht="12.75" customHeight="1">
      <c r="A451" s="536"/>
      <c r="B451" s="14"/>
      <c r="C451" s="747"/>
      <c r="D451" s="726"/>
      <c r="E451" s="715"/>
      <c r="F451" s="2442"/>
      <c r="G451" s="2442"/>
      <c r="H451" s="2442"/>
      <c r="I451" s="2442"/>
      <c r="J451" s="2442"/>
      <c r="K451" s="2442"/>
      <c r="L451" s="2442"/>
      <c r="M451" s="2442"/>
      <c r="N451" s="2442"/>
      <c r="O451" s="2442"/>
      <c r="P451" s="2442"/>
      <c r="Q451" s="2442"/>
      <c r="R451" s="2442"/>
      <c r="S451" s="2442"/>
      <c r="T451" s="2442"/>
      <c r="U451" s="2442"/>
      <c r="V451" s="2442"/>
      <c r="W451" s="2442"/>
      <c r="X451" s="2442"/>
      <c r="Y451" s="2442"/>
      <c r="Z451" s="2442"/>
      <c r="AA451" s="2442"/>
      <c r="AB451" s="2442"/>
      <c r="AC451" s="2442"/>
      <c r="AD451" s="2442"/>
      <c r="AE451" s="2442"/>
      <c r="AF451" s="592"/>
      <c r="AG451" s="592"/>
      <c r="AH451" s="592"/>
      <c r="AI451" s="592"/>
      <c r="AJ451" s="592"/>
      <c r="AK451" s="592"/>
      <c r="AL451" s="746"/>
      <c r="AM451" s="568"/>
      <c r="AN451" s="595"/>
    </row>
    <row r="452" spans="1:42" s="549" customFormat="1" ht="12.75" customHeight="1">
      <c r="A452" s="536"/>
      <c r="B452" s="14"/>
      <c r="C452" s="747"/>
      <c r="D452" s="726"/>
      <c r="E452" s="715"/>
      <c r="F452" s="2442"/>
      <c r="G452" s="2442"/>
      <c r="H452" s="2442"/>
      <c r="I452" s="2442"/>
      <c r="J452" s="2442"/>
      <c r="K452" s="2442"/>
      <c r="L452" s="2442"/>
      <c r="M452" s="2442"/>
      <c r="N452" s="2442"/>
      <c r="O452" s="2442"/>
      <c r="P452" s="2442"/>
      <c r="Q452" s="2442"/>
      <c r="R452" s="2442"/>
      <c r="S452" s="2442"/>
      <c r="T452" s="2442"/>
      <c r="U452" s="2442"/>
      <c r="V452" s="2442"/>
      <c r="W452" s="2442"/>
      <c r="X452" s="2442"/>
      <c r="Y452" s="2442"/>
      <c r="Z452" s="2442"/>
      <c r="AA452" s="2442"/>
      <c r="AB452" s="2442"/>
      <c r="AC452" s="2442"/>
      <c r="AD452" s="2442"/>
      <c r="AE452" s="2442"/>
      <c r="AF452" s="592"/>
      <c r="AG452" s="592"/>
      <c r="AH452" s="592"/>
      <c r="AI452" s="592"/>
      <c r="AJ452" s="592"/>
      <c r="AK452" s="592"/>
      <c r="AL452" s="746"/>
      <c r="AM452" s="568"/>
      <c r="AN452" s="595"/>
    </row>
    <row r="453" spans="1:42" s="549" customFormat="1" ht="12.75" customHeight="1">
      <c r="A453" s="536"/>
      <c r="B453" s="14"/>
      <c r="C453" s="747"/>
      <c r="D453" s="726"/>
      <c r="E453" s="715"/>
      <c r="F453" s="2442"/>
      <c r="G453" s="2442"/>
      <c r="H453" s="2442"/>
      <c r="I453" s="2442"/>
      <c r="J453" s="2442"/>
      <c r="K453" s="2442"/>
      <c r="L453" s="2442"/>
      <c r="M453" s="2442"/>
      <c r="N453" s="2442"/>
      <c r="O453" s="2442"/>
      <c r="P453" s="2442"/>
      <c r="Q453" s="2442"/>
      <c r="R453" s="2442"/>
      <c r="S453" s="2442"/>
      <c r="T453" s="2442"/>
      <c r="U453" s="2442"/>
      <c r="V453" s="2442"/>
      <c r="W453" s="2442"/>
      <c r="X453" s="2442"/>
      <c r="Y453" s="2442"/>
      <c r="Z453" s="2442"/>
      <c r="AA453" s="2442"/>
      <c r="AB453" s="2442"/>
      <c r="AC453" s="2442"/>
      <c r="AD453" s="2442"/>
      <c r="AE453" s="2442"/>
      <c r="AF453" s="592"/>
      <c r="AG453" s="592"/>
      <c r="AH453" s="592"/>
      <c r="AI453" s="592"/>
      <c r="AJ453" s="592"/>
      <c r="AK453" s="592"/>
      <c r="AL453" s="746"/>
      <c r="AM453" s="568"/>
      <c r="AN453" s="595"/>
    </row>
    <row r="454" spans="1:42" s="549" customFormat="1" ht="17.25" customHeight="1">
      <c r="A454" s="536"/>
      <c r="B454" s="14"/>
      <c r="C454" s="747"/>
      <c r="D454" s="726"/>
      <c r="E454" s="715"/>
      <c r="F454" s="2442"/>
      <c r="G454" s="2442"/>
      <c r="H454" s="2442"/>
      <c r="I454" s="2442"/>
      <c r="J454" s="2442"/>
      <c r="K454" s="2442"/>
      <c r="L454" s="2442"/>
      <c r="M454" s="2442"/>
      <c r="N454" s="2442"/>
      <c r="O454" s="2442"/>
      <c r="P454" s="2442"/>
      <c r="Q454" s="2442"/>
      <c r="R454" s="2442"/>
      <c r="S454" s="2442"/>
      <c r="T454" s="2442"/>
      <c r="U454" s="2442"/>
      <c r="V454" s="2442"/>
      <c r="W454" s="2442"/>
      <c r="X454" s="2442"/>
      <c r="Y454" s="2442"/>
      <c r="Z454" s="2442"/>
      <c r="AA454" s="2442"/>
      <c r="AB454" s="2442"/>
      <c r="AC454" s="2442"/>
      <c r="AD454" s="2442"/>
      <c r="AE454" s="2442"/>
      <c r="AL454" s="728"/>
      <c r="AM454" s="568"/>
      <c r="AN454" s="595"/>
    </row>
    <row r="455" spans="1:42" s="549" customFormat="1" ht="12.75" customHeight="1">
      <c r="A455" s="536"/>
      <c r="B455" s="14"/>
      <c r="C455" s="2466" t="s">
        <v>591</v>
      </c>
      <c r="D455" s="2413"/>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2" t="s">
        <v>1453</v>
      </c>
      <c r="AG455" s="2392"/>
      <c r="AH455" s="2392"/>
      <c r="AI455" s="2392"/>
      <c r="AJ455" s="2392"/>
      <c r="AK455" s="2392"/>
      <c r="AL455" s="247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41" t="s">
        <v>1479</v>
      </c>
      <c r="G458" s="2441"/>
      <c r="H458" s="2441"/>
      <c r="I458" s="2441"/>
      <c r="J458" s="2441"/>
      <c r="K458" s="2441"/>
      <c r="L458" s="2441"/>
      <c r="M458" s="2441"/>
      <c r="N458" s="2441"/>
      <c r="O458" s="2441"/>
      <c r="P458" s="2441"/>
      <c r="Q458" s="2441"/>
      <c r="R458" s="2441"/>
      <c r="S458" s="2441"/>
      <c r="T458" s="2441"/>
      <c r="U458" s="2441"/>
      <c r="V458" s="2441"/>
      <c r="W458" s="2441"/>
      <c r="X458" s="2441"/>
      <c r="Y458" s="2441"/>
      <c r="Z458" s="2441"/>
      <c r="AA458" s="2441"/>
      <c r="AB458" s="2441"/>
      <c r="AC458" s="2441"/>
      <c r="AD458" s="2441"/>
      <c r="AE458" s="2441"/>
      <c r="AF458" s="710"/>
      <c r="AG458" s="710"/>
      <c r="AH458" s="710"/>
      <c r="AI458" s="710"/>
      <c r="AJ458" s="710"/>
      <c r="AK458" s="710"/>
      <c r="AL458" s="741"/>
      <c r="AM458" s="568"/>
      <c r="AN458" s="595"/>
    </row>
    <row r="459" spans="1:42" s="549" customFormat="1" ht="12.75" customHeight="1">
      <c r="A459" s="536"/>
      <c r="B459" s="14"/>
      <c r="C459" s="747"/>
      <c r="D459" s="726"/>
      <c r="E459" s="715"/>
      <c r="F459" s="2442"/>
      <c r="G459" s="2442"/>
      <c r="H459" s="2442"/>
      <c r="I459" s="2442"/>
      <c r="J459" s="2442"/>
      <c r="K459" s="2442"/>
      <c r="L459" s="2442"/>
      <c r="M459" s="2442"/>
      <c r="N459" s="2442"/>
      <c r="O459" s="2442"/>
      <c r="P459" s="2442"/>
      <c r="Q459" s="2442"/>
      <c r="R459" s="2442"/>
      <c r="S459" s="2442"/>
      <c r="T459" s="2442"/>
      <c r="U459" s="2442"/>
      <c r="V459" s="2442"/>
      <c r="W459" s="2442"/>
      <c r="X459" s="2442"/>
      <c r="Y459" s="2442"/>
      <c r="Z459" s="2442"/>
      <c r="AA459" s="2442"/>
      <c r="AB459" s="2442"/>
      <c r="AC459" s="2442"/>
      <c r="AD459" s="2442"/>
      <c r="AE459" s="2442"/>
      <c r="AF459" s="589"/>
      <c r="AG459" s="589"/>
      <c r="AH459" s="589"/>
      <c r="AI459" s="589"/>
      <c r="AJ459" s="589"/>
      <c r="AK459" s="589"/>
      <c r="AL459" s="716"/>
      <c r="AM459" s="568"/>
      <c r="AN459" s="595"/>
    </row>
    <row r="460" spans="1:42" s="549" customFormat="1" ht="12.75" customHeight="1">
      <c r="A460" s="536"/>
      <c r="B460" s="14"/>
      <c r="C460" s="747"/>
      <c r="D460" s="726"/>
      <c r="E460" s="715"/>
      <c r="F460" s="2442"/>
      <c r="G460" s="2442"/>
      <c r="H460" s="2442"/>
      <c r="I460" s="2442"/>
      <c r="J460" s="2442"/>
      <c r="K460" s="2442"/>
      <c r="L460" s="2442"/>
      <c r="M460" s="2442"/>
      <c r="N460" s="2442"/>
      <c r="O460" s="2442"/>
      <c r="P460" s="2442"/>
      <c r="Q460" s="2442"/>
      <c r="R460" s="2442"/>
      <c r="S460" s="2442"/>
      <c r="T460" s="2442"/>
      <c r="U460" s="2442"/>
      <c r="V460" s="2442"/>
      <c r="W460" s="2442"/>
      <c r="X460" s="2442"/>
      <c r="Y460" s="2442"/>
      <c r="Z460" s="2442"/>
      <c r="AA460" s="2442"/>
      <c r="AB460" s="2442"/>
      <c r="AC460" s="2442"/>
      <c r="AD460" s="2442"/>
      <c r="AE460" s="2442"/>
      <c r="AF460" s="589"/>
      <c r="AG460" s="589"/>
      <c r="AH460" s="589"/>
      <c r="AI460" s="589"/>
      <c r="AJ460" s="589"/>
      <c r="AK460" s="589"/>
      <c r="AL460" s="716"/>
      <c r="AM460" s="568"/>
      <c r="AN460" s="595"/>
    </row>
    <row r="461" spans="1:42" s="549" customFormat="1" ht="12.75" customHeight="1">
      <c r="A461" s="536"/>
      <c r="B461" s="14"/>
      <c r="C461" s="747"/>
      <c r="D461" s="726"/>
      <c r="E461" s="715"/>
      <c r="F461" s="2442"/>
      <c r="G461" s="2442"/>
      <c r="H461" s="2442"/>
      <c r="I461" s="2442"/>
      <c r="J461" s="2442"/>
      <c r="K461" s="2442"/>
      <c r="L461" s="2442"/>
      <c r="M461" s="2442"/>
      <c r="N461" s="2442"/>
      <c r="O461" s="2442"/>
      <c r="P461" s="2442"/>
      <c r="Q461" s="2442"/>
      <c r="R461" s="2442"/>
      <c r="S461" s="2442"/>
      <c r="T461" s="2442"/>
      <c r="U461" s="2442"/>
      <c r="V461" s="2442"/>
      <c r="W461" s="2442"/>
      <c r="X461" s="2442"/>
      <c r="Y461" s="2442"/>
      <c r="Z461" s="2442"/>
      <c r="AA461" s="2442"/>
      <c r="AB461" s="2442"/>
      <c r="AC461" s="2442"/>
      <c r="AD461" s="2442"/>
      <c r="AE461" s="2442"/>
      <c r="AL461" s="728"/>
      <c r="AM461" s="568"/>
      <c r="AN461" s="595"/>
    </row>
    <row r="462" spans="1:42" s="549" customFormat="1" ht="12.75" customHeight="1">
      <c r="A462" s="536"/>
      <c r="B462" s="14"/>
      <c r="C462" s="2466" t="s">
        <v>591</v>
      </c>
      <c r="D462" s="2413"/>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2" t="s">
        <v>1453</v>
      </c>
      <c r="AG462" s="2392"/>
      <c r="AH462" s="2392"/>
      <c r="AI462" s="2392"/>
      <c r="AJ462" s="2392"/>
      <c r="AK462" s="2392"/>
      <c r="AL462" s="247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1" t="s">
        <v>591</v>
      </c>
      <c r="D466" s="2552"/>
      <c r="E466" s="711" t="s">
        <v>1488</v>
      </c>
      <c r="F466" s="2441" t="s">
        <v>1489</v>
      </c>
      <c r="G466" s="2441"/>
      <c r="H466" s="2441"/>
      <c r="I466" s="2441"/>
      <c r="J466" s="2441"/>
      <c r="K466" s="2441"/>
      <c r="L466" s="2441"/>
      <c r="M466" s="2441"/>
      <c r="N466" s="2441"/>
      <c r="O466" s="2441"/>
      <c r="P466" s="2441"/>
      <c r="Q466" s="2441"/>
      <c r="R466" s="2441"/>
      <c r="S466" s="2441"/>
      <c r="T466" s="2441"/>
      <c r="U466" s="2441"/>
      <c r="V466" s="2441"/>
      <c r="W466" s="2441"/>
      <c r="X466" s="2441"/>
      <c r="Y466" s="2441"/>
      <c r="Z466" s="2441"/>
      <c r="AA466" s="2441"/>
      <c r="AB466" s="2441"/>
      <c r="AC466" s="2441"/>
      <c r="AD466" s="2441"/>
      <c r="AE466" s="2441"/>
      <c r="AF466" s="2469" t="s">
        <v>1453</v>
      </c>
      <c r="AG466" s="2469"/>
      <c r="AH466" s="2469"/>
      <c r="AI466" s="2469"/>
      <c r="AJ466" s="2469"/>
      <c r="AK466" s="2469"/>
      <c r="AL466" s="2470"/>
      <c r="AM466" s="568"/>
      <c r="AN466" s="749"/>
    </row>
    <row r="467" spans="1:40" s="549" customFormat="1" ht="12.75" customHeight="1">
      <c r="A467" s="536"/>
      <c r="B467" s="14"/>
      <c r="C467" s="747"/>
      <c r="D467" s="726"/>
      <c r="E467" s="715"/>
      <c r="F467" s="2442"/>
      <c r="G467" s="2442"/>
      <c r="H467" s="2442"/>
      <c r="I467" s="2442"/>
      <c r="J467" s="2442"/>
      <c r="K467" s="2442"/>
      <c r="L467" s="2442"/>
      <c r="M467" s="2442"/>
      <c r="N467" s="2442"/>
      <c r="O467" s="2442"/>
      <c r="P467" s="2442"/>
      <c r="Q467" s="2442"/>
      <c r="R467" s="2442"/>
      <c r="S467" s="2442"/>
      <c r="T467" s="2442"/>
      <c r="U467" s="2442"/>
      <c r="V467" s="2442"/>
      <c r="W467" s="2442"/>
      <c r="X467" s="2442"/>
      <c r="Y467" s="2442"/>
      <c r="Z467" s="2442"/>
      <c r="AA467" s="2442"/>
      <c r="AB467" s="2442"/>
      <c r="AC467" s="2442"/>
      <c r="AD467" s="2442"/>
      <c r="AE467" s="2442"/>
      <c r="AF467" s="589"/>
      <c r="AG467" s="589"/>
      <c r="AH467" s="589"/>
      <c r="AI467" s="589"/>
      <c r="AJ467" s="589"/>
      <c r="AK467" s="589"/>
      <c r="AL467" s="716"/>
      <c r="AM467" s="568"/>
      <c r="AN467" s="750"/>
    </row>
    <row r="468" spans="1:40" s="549" customFormat="1" ht="17.649999999999999" customHeight="1">
      <c r="A468" s="536"/>
      <c r="B468" s="14"/>
      <c r="C468" s="752"/>
      <c r="D468" s="719"/>
      <c r="E468" s="720"/>
      <c r="F468" s="2443"/>
      <c r="G468" s="2443"/>
      <c r="H468" s="2443"/>
      <c r="I468" s="2443"/>
      <c r="J468" s="2443"/>
      <c r="K468" s="2443"/>
      <c r="L468" s="2443"/>
      <c r="M468" s="2443"/>
      <c r="N468" s="2443"/>
      <c r="O468" s="2443"/>
      <c r="P468" s="2443"/>
      <c r="Q468" s="2443"/>
      <c r="R468" s="2443"/>
      <c r="S468" s="2443"/>
      <c r="T468" s="2443"/>
      <c r="U468" s="2443"/>
      <c r="V468" s="2443"/>
      <c r="W468" s="2443"/>
      <c r="X468" s="2443"/>
      <c r="Y468" s="2443"/>
      <c r="Z468" s="2443"/>
      <c r="AA468" s="2443"/>
      <c r="AB468" s="2443"/>
      <c r="AC468" s="2443"/>
      <c r="AD468" s="2443"/>
      <c r="AE468" s="244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6" t="s">
        <v>591</v>
      </c>
      <c r="D470" s="2413"/>
      <c r="E470" s="711" t="s">
        <v>1494</v>
      </c>
      <c r="F470" s="2441" t="s">
        <v>1495</v>
      </c>
      <c r="G470" s="2441"/>
      <c r="H470" s="2441"/>
      <c r="I470" s="2441"/>
      <c r="J470" s="2441"/>
      <c r="K470" s="2441"/>
      <c r="L470" s="2441"/>
      <c r="M470" s="2441"/>
      <c r="N470" s="2441"/>
      <c r="O470" s="2441"/>
      <c r="P470" s="2441"/>
      <c r="Q470" s="2441"/>
      <c r="R470" s="2441"/>
      <c r="S470" s="2441"/>
      <c r="T470" s="2441"/>
      <c r="U470" s="2441"/>
      <c r="V470" s="2441"/>
      <c r="W470" s="2441"/>
      <c r="X470" s="2441"/>
      <c r="Y470" s="2441"/>
      <c r="Z470" s="2441"/>
      <c r="AA470" s="2441"/>
      <c r="AB470" s="2441"/>
      <c r="AC470" s="2441"/>
      <c r="AD470" s="2441"/>
      <c r="AE470" s="2441"/>
      <c r="AF470" s="2469" t="s">
        <v>1453</v>
      </c>
      <c r="AG470" s="2469"/>
      <c r="AH470" s="2469"/>
      <c r="AI470" s="2469"/>
      <c r="AJ470" s="2469"/>
      <c r="AK470" s="2469"/>
      <c r="AL470" s="2470"/>
      <c r="AM470" s="568"/>
      <c r="AN470" s="535"/>
    </row>
    <row r="471" spans="1:40" s="549" customFormat="1" ht="12.75" customHeight="1">
      <c r="A471" s="536"/>
      <c r="B471" s="14"/>
      <c r="C471" s="727"/>
      <c r="D471" s="14"/>
      <c r="E471" s="687"/>
      <c r="F471" s="2442"/>
      <c r="G471" s="2442"/>
      <c r="H471" s="2442"/>
      <c r="I471" s="2442"/>
      <c r="J471" s="2442"/>
      <c r="K471" s="2442"/>
      <c r="L471" s="2442"/>
      <c r="M471" s="2442"/>
      <c r="N471" s="2442"/>
      <c r="O471" s="2442"/>
      <c r="P471" s="2442"/>
      <c r="Q471" s="2442"/>
      <c r="R471" s="2442"/>
      <c r="S471" s="2442"/>
      <c r="T471" s="2442"/>
      <c r="U471" s="2442"/>
      <c r="V471" s="2442"/>
      <c r="W471" s="2442"/>
      <c r="X471" s="2442"/>
      <c r="Y471" s="2442"/>
      <c r="Z471" s="2442"/>
      <c r="AA471" s="2442"/>
      <c r="AB471" s="2442"/>
      <c r="AC471" s="2442"/>
      <c r="AD471" s="2442"/>
      <c r="AE471" s="2442"/>
      <c r="AF471" s="539"/>
      <c r="AG471" s="536"/>
      <c r="AL471" s="728"/>
      <c r="AM471" s="568"/>
      <c r="AN471" s="535"/>
    </row>
    <row r="472" spans="1:40" s="549" customFormat="1" ht="12.75" customHeight="1">
      <c r="A472" s="536"/>
      <c r="B472" s="14"/>
      <c r="C472" s="727"/>
      <c r="D472" s="14"/>
      <c r="E472" s="687"/>
      <c r="F472" s="2442"/>
      <c r="G472" s="2442"/>
      <c r="H472" s="2442"/>
      <c r="I472" s="2442"/>
      <c r="J472" s="2442"/>
      <c r="K472" s="2442"/>
      <c r="L472" s="2442"/>
      <c r="M472" s="2442"/>
      <c r="N472" s="2442"/>
      <c r="O472" s="2442"/>
      <c r="P472" s="2442"/>
      <c r="Q472" s="2442"/>
      <c r="R472" s="2442"/>
      <c r="S472" s="2442"/>
      <c r="T472" s="2442"/>
      <c r="U472" s="2442"/>
      <c r="V472" s="2442"/>
      <c r="W472" s="2442"/>
      <c r="X472" s="2442"/>
      <c r="Y472" s="2442"/>
      <c r="Z472" s="2442"/>
      <c r="AA472" s="2442"/>
      <c r="AB472" s="2442"/>
      <c r="AC472" s="2442"/>
      <c r="AD472" s="2442"/>
      <c r="AE472" s="2442"/>
      <c r="AF472" s="539"/>
      <c r="AG472" s="536"/>
      <c r="AL472" s="728"/>
      <c r="AM472" s="568"/>
      <c r="AN472" s="535"/>
    </row>
    <row r="473" spans="1:40" s="549" customFormat="1" ht="12.75" customHeight="1">
      <c r="A473" s="536"/>
      <c r="B473" s="14"/>
      <c r="C473" s="752"/>
      <c r="D473" s="719"/>
      <c r="E473" s="720"/>
      <c r="F473" s="2443"/>
      <c r="G473" s="2443"/>
      <c r="H473" s="2443"/>
      <c r="I473" s="2443"/>
      <c r="J473" s="2443"/>
      <c r="K473" s="2443"/>
      <c r="L473" s="2443"/>
      <c r="M473" s="2443"/>
      <c r="N473" s="2443"/>
      <c r="O473" s="2443"/>
      <c r="P473" s="2443"/>
      <c r="Q473" s="2443"/>
      <c r="R473" s="2443"/>
      <c r="S473" s="2443"/>
      <c r="T473" s="2443"/>
      <c r="U473" s="2443"/>
      <c r="V473" s="2443"/>
      <c r="W473" s="2443"/>
      <c r="X473" s="2443"/>
      <c r="Y473" s="2443"/>
      <c r="Z473" s="2443"/>
      <c r="AA473" s="2443"/>
      <c r="AB473" s="2443"/>
      <c r="AC473" s="2443"/>
      <c r="AD473" s="2443"/>
      <c r="AE473" s="244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41" t="s">
        <v>1498</v>
      </c>
      <c r="G475" s="2441"/>
      <c r="H475" s="2441"/>
      <c r="I475" s="2441"/>
      <c r="J475" s="2441"/>
      <c r="K475" s="2441"/>
      <c r="L475" s="2441"/>
      <c r="M475" s="2441"/>
      <c r="N475" s="2441"/>
      <c r="O475" s="2441"/>
      <c r="P475" s="2441"/>
      <c r="Q475" s="2441"/>
      <c r="R475" s="2441"/>
      <c r="S475" s="2441"/>
      <c r="T475" s="2441"/>
      <c r="U475" s="2441"/>
      <c r="V475" s="2441"/>
      <c r="W475" s="2441"/>
      <c r="X475" s="2441"/>
      <c r="Y475" s="2441"/>
      <c r="Z475" s="2441"/>
      <c r="AA475" s="2441"/>
      <c r="AB475" s="2441"/>
      <c r="AC475" s="2441"/>
      <c r="AD475" s="2441"/>
      <c r="AE475" s="2441"/>
      <c r="AF475" s="2441"/>
      <c r="AG475" s="740"/>
      <c r="AH475" s="710"/>
      <c r="AI475" s="710"/>
      <c r="AJ475" s="710"/>
      <c r="AK475" s="710"/>
      <c r="AL475" s="741"/>
      <c r="AM475" s="568"/>
      <c r="AN475" s="595"/>
    </row>
    <row r="476" spans="1:40" s="549" customFormat="1" ht="12.75" customHeight="1">
      <c r="A476" s="536"/>
      <c r="B476" s="14"/>
      <c r="C476" s="727"/>
      <c r="D476" s="14"/>
      <c r="E476" s="687"/>
      <c r="F476" s="2442"/>
      <c r="G476" s="2442"/>
      <c r="H476" s="2442"/>
      <c r="I476" s="2442"/>
      <c r="J476" s="2442"/>
      <c r="K476" s="2442"/>
      <c r="L476" s="2442"/>
      <c r="M476" s="2442"/>
      <c r="N476" s="2442"/>
      <c r="O476" s="2442"/>
      <c r="P476" s="2442"/>
      <c r="Q476" s="2442"/>
      <c r="R476" s="2442"/>
      <c r="S476" s="2442"/>
      <c r="T476" s="2442"/>
      <c r="U476" s="2442"/>
      <c r="V476" s="2442"/>
      <c r="W476" s="2442"/>
      <c r="X476" s="2442"/>
      <c r="Y476" s="2442"/>
      <c r="Z476" s="2442"/>
      <c r="AA476" s="2442"/>
      <c r="AB476" s="2442"/>
      <c r="AC476" s="2442"/>
      <c r="AD476" s="2442"/>
      <c r="AE476" s="2442"/>
      <c r="AF476" s="2442"/>
      <c r="AL476" s="728"/>
      <c r="AM476" s="568"/>
      <c r="AN476" s="595"/>
    </row>
    <row r="477" spans="1:40" s="549" customFormat="1" ht="12.75" customHeight="1">
      <c r="A477" s="536"/>
      <c r="B477" s="14"/>
      <c r="C477" s="735"/>
      <c r="F477" s="2442"/>
      <c r="G477" s="2442"/>
      <c r="H477" s="2442"/>
      <c r="I477" s="2442"/>
      <c r="J477" s="2442"/>
      <c r="K477" s="2442"/>
      <c r="L477" s="2442"/>
      <c r="M477" s="2442"/>
      <c r="N477" s="2442"/>
      <c r="O477" s="2442"/>
      <c r="P477" s="2442"/>
      <c r="Q477" s="2442"/>
      <c r="R477" s="2442"/>
      <c r="S477" s="2442"/>
      <c r="T477" s="2442"/>
      <c r="U477" s="2442"/>
      <c r="V477" s="2442"/>
      <c r="W477" s="2442"/>
      <c r="X477" s="2442"/>
      <c r="Y477" s="2442"/>
      <c r="Z477" s="2442"/>
      <c r="AA477" s="2442"/>
      <c r="AB477" s="2442"/>
      <c r="AC477" s="2442"/>
      <c r="AD477" s="2442"/>
      <c r="AE477" s="2442"/>
      <c r="AF477" s="2442"/>
      <c r="AL477" s="728"/>
      <c r="AM477" s="568"/>
      <c r="AN477" s="595"/>
    </row>
    <row r="478" spans="1:40" s="549" customFormat="1" ht="12.75" customHeight="1">
      <c r="A478" s="536"/>
      <c r="B478" s="14"/>
      <c r="C478" s="735"/>
      <c r="F478" s="2442"/>
      <c r="G478" s="2442"/>
      <c r="H478" s="2442"/>
      <c r="I478" s="2442"/>
      <c r="J478" s="2442"/>
      <c r="K478" s="2442"/>
      <c r="L478" s="2442"/>
      <c r="M478" s="2442"/>
      <c r="N478" s="2442"/>
      <c r="O478" s="2442"/>
      <c r="P478" s="2442"/>
      <c r="Q478" s="2442"/>
      <c r="R478" s="2442"/>
      <c r="S478" s="2442"/>
      <c r="T478" s="2442"/>
      <c r="U478" s="2442"/>
      <c r="V478" s="2442"/>
      <c r="W478" s="2442"/>
      <c r="X478" s="2442"/>
      <c r="Y478" s="2442"/>
      <c r="Z478" s="2442"/>
      <c r="AA478" s="2442"/>
      <c r="AB478" s="2442"/>
      <c r="AC478" s="2442"/>
      <c r="AD478" s="2442"/>
      <c r="AE478" s="2442"/>
      <c r="AF478" s="2442"/>
      <c r="AL478" s="728"/>
      <c r="AM478" s="568"/>
      <c r="AN478" s="595"/>
    </row>
    <row r="479" spans="1:40" s="549" customFormat="1" ht="12.75" customHeight="1">
      <c r="A479" s="536"/>
      <c r="B479" s="14"/>
      <c r="C479" s="2466" t="s">
        <v>591</v>
      </c>
      <c r="D479" s="2413"/>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7" t="s">
        <v>1453</v>
      </c>
      <c r="AG479" s="2467"/>
      <c r="AH479" s="2467"/>
      <c r="AI479" s="2467"/>
      <c r="AJ479" s="2467"/>
      <c r="AK479" s="2467"/>
      <c r="AL479" s="246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4">
        <f>IF(Application!D214="N/A",AS371,AS373)</f>
        <v>10</v>
      </c>
      <c r="AL482" s="2440"/>
      <c r="AM482" s="239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7" t="s">
        <v>1502</v>
      </c>
      <c r="AF485" s="2467"/>
      <c r="AG485" s="2467"/>
      <c r="AH485" s="2467"/>
      <c r="AI485" s="2467"/>
      <c r="AJ485" s="2467"/>
      <c r="AK485" s="2467"/>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6" t="s">
        <v>591</v>
      </c>
      <c r="D491" s="2417"/>
      <c r="E491" s="757" t="s">
        <v>507</v>
      </c>
      <c r="F491" s="2452" t="s">
        <v>1508</v>
      </c>
      <c r="G491" s="2452"/>
      <c r="H491" s="2452"/>
      <c r="I491" s="2452"/>
      <c r="J491" s="2452"/>
      <c r="K491" s="2452"/>
      <c r="L491" s="2452"/>
      <c r="M491" s="2452"/>
      <c r="N491" s="2452"/>
      <c r="O491" s="2452"/>
      <c r="P491" s="2452"/>
      <c r="Q491" s="2452"/>
      <c r="R491" s="2452"/>
      <c r="S491" s="2452"/>
      <c r="T491" s="2452"/>
      <c r="U491" s="2452"/>
      <c r="V491" s="2452"/>
      <c r="W491" s="2452"/>
      <c r="X491" s="2452"/>
      <c r="Y491" s="2452"/>
      <c r="Z491" s="2452"/>
      <c r="AA491" s="2452"/>
      <c r="AB491" s="2452"/>
      <c r="AC491" s="2452"/>
      <c r="AD491" s="2452"/>
      <c r="AE491" s="2452"/>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3"/>
      <c r="G492" s="2453"/>
      <c r="H492" s="2453"/>
      <c r="I492" s="2453"/>
      <c r="J492" s="2453"/>
      <c r="K492" s="2453"/>
      <c r="L492" s="2453"/>
      <c r="M492" s="2453"/>
      <c r="N492" s="2453"/>
      <c r="O492" s="2453"/>
      <c r="P492" s="2453"/>
      <c r="Q492" s="2453"/>
      <c r="R492" s="2453"/>
      <c r="S492" s="2453"/>
      <c r="T492" s="2453"/>
      <c r="U492" s="2453"/>
      <c r="V492" s="2453"/>
      <c r="W492" s="2453"/>
      <c r="X492" s="2453"/>
      <c r="Y492" s="2453"/>
      <c r="Z492" s="2453"/>
      <c r="AA492" s="2453"/>
      <c r="AB492" s="2453"/>
      <c r="AC492" s="2453"/>
      <c r="AD492" s="2453"/>
      <c r="AE492" s="2453"/>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50" t="s">
        <v>591</v>
      </c>
      <c r="G493" s="2450"/>
      <c r="H493" s="2450"/>
      <c r="I493" s="2450"/>
      <c r="J493" s="2450"/>
      <c r="K493" s="2450"/>
      <c r="L493" s="2450"/>
      <c r="M493" s="2450"/>
      <c r="N493" s="2450"/>
      <c r="O493" s="2450"/>
      <c r="P493" s="2450"/>
      <c r="Q493" s="2450"/>
      <c r="R493" s="2450"/>
      <c r="S493" s="2450"/>
      <c r="T493" s="2450"/>
      <c r="U493" s="2450"/>
      <c r="V493" s="2450"/>
      <c r="W493" s="2450"/>
      <c r="X493" s="2450"/>
      <c r="Y493" s="2450"/>
      <c r="Z493" s="2450"/>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9" t="s">
        <v>545</v>
      </c>
      <c r="D495" s="2420"/>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9" t="s">
        <v>591</v>
      </c>
      <c r="W498" s="2449"/>
      <c r="X498" s="2449"/>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9" t="s">
        <v>591</v>
      </c>
      <c r="W500" s="2449"/>
      <c r="X500" s="2449"/>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9" t="s">
        <v>591</v>
      </c>
      <c r="W505" s="2449"/>
      <c r="X505" s="2449"/>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8"/>
      <c r="E508" s="2418"/>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9" t="s">
        <v>591</v>
      </c>
      <c r="W509" s="2449"/>
      <c r="X509" s="2449"/>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9" t="s">
        <v>591</v>
      </c>
      <c r="W511" s="2449"/>
      <c r="X511" s="2449"/>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6" t="s">
        <v>591</v>
      </c>
      <c r="D514" s="2417"/>
      <c r="E514" s="757" t="s">
        <v>507</v>
      </c>
      <c r="F514" s="2452" t="s">
        <v>1508</v>
      </c>
      <c r="G514" s="2452"/>
      <c r="H514" s="2452"/>
      <c r="I514" s="2452"/>
      <c r="J514" s="2452"/>
      <c r="K514" s="2452"/>
      <c r="L514" s="2452"/>
      <c r="M514" s="2452"/>
      <c r="N514" s="2452"/>
      <c r="O514" s="2452"/>
      <c r="P514" s="2452"/>
      <c r="Q514" s="2452"/>
      <c r="R514" s="2452"/>
      <c r="S514" s="2452"/>
      <c r="T514" s="2452"/>
      <c r="U514" s="2452"/>
      <c r="V514" s="2452"/>
      <c r="W514" s="2452"/>
      <c r="X514" s="2452"/>
      <c r="Y514" s="2452"/>
      <c r="Z514" s="2452"/>
      <c r="AA514" s="2452"/>
      <c r="AB514" s="2452"/>
      <c r="AC514" s="2452"/>
      <c r="AD514" s="2452"/>
      <c r="AE514" s="245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3"/>
      <c r="G515" s="2453"/>
      <c r="H515" s="2453"/>
      <c r="I515" s="2453"/>
      <c r="J515" s="2453"/>
      <c r="K515" s="2453"/>
      <c r="L515" s="2453"/>
      <c r="M515" s="2453"/>
      <c r="N515" s="2453"/>
      <c r="O515" s="2453"/>
      <c r="P515" s="2453"/>
      <c r="Q515" s="2453"/>
      <c r="R515" s="2453"/>
      <c r="S515" s="2453"/>
      <c r="T515" s="2453"/>
      <c r="U515" s="2453"/>
      <c r="V515" s="2453"/>
      <c r="W515" s="2453"/>
      <c r="X515" s="2453"/>
      <c r="Y515" s="2453"/>
      <c r="Z515" s="2453"/>
      <c r="AA515" s="2453"/>
      <c r="AB515" s="2453"/>
      <c r="AC515" s="2453"/>
      <c r="AD515" s="2453"/>
      <c r="AE515" s="245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5" t="s">
        <v>591</v>
      </c>
      <c r="G516" s="2445"/>
      <c r="H516" s="2445"/>
      <c r="I516" s="2445"/>
      <c r="J516" s="2445"/>
      <c r="K516" s="2445"/>
      <c r="L516" s="2445"/>
      <c r="M516" s="2445"/>
      <c r="N516" s="2445"/>
      <c r="O516" s="2445"/>
      <c r="P516" s="2445"/>
      <c r="Q516" s="2445"/>
      <c r="R516" s="2445"/>
      <c r="S516" s="2445"/>
      <c r="T516" s="2445"/>
      <c r="U516" s="2445"/>
      <c r="V516" s="2445"/>
      <c r="W516" s="2445"/>
      <c r="X516" s="2445"/>
      <c r="Y516" s="2445"/>
      <c r="Z516" s="2445"/>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6" t="s">
        <v>591</v>
      </c>
      <c r="D518" s="2417"/>
      <c r="E518" s="757" t="s">
        <v>757</v>
      </c>
      <c r="F518" s="2446" t="s">
        <v>1530</v>
      </c>
      <c r="G518" s="2446"/>
      <c r="H518" s="2446"/>
      <c r="I518" s="2446"/>
      <c r="J518" s="2446"/>
      <c r="K518" s="2446"/>
      <c r="L518" s="2446"/>
      <c r="M518" s="2446"/>
      <c r="N518" s="2446"/>
      <c r="O518" s="2446"/>
      <c r="P518" s="2446"/>
      <c r="Q518" s="2446"/>
      <c r="R518" s="2446"/>
      <c r="S518" s="2446"/>
      <c r="T518" s="2446"/>
      <c r="U518" s="2446"/>
      <c r="V518" s="2446"/>
      <c r="W518" s="2446"/>
      <c r="X518" s="2446"/>
      <c r="Y518" s="2446"/>
      <c r="Z518" s="2446"/>
      <c r="AA518" s="2446"/>
      <c r="AB518" s="2446"/>
      <c r="AC518" s="2446"/>
      <c r="AD518" s="2446"/>
      <c r="AE518" s="244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7"/>
      <c r="G519" s="2447"/>
      <c r="H519" s="2447"/>
      <c r="I519" s="2447"/>
      <c r="J519" s="2447"/>
      <c r="K519" s="2447"/>
      <c r="L519" s="2447"/>
      <c r="M519" s="2447"/>
      <c r="N519" s="2447"/>
      <c r="O519" s="2447"/>
      <c r="P519" s="2447"/>
      <c r="Q519" s="2447"/>
      <c r="R519" s="2447"/>
      <c r="S519" s="2447"/>
      <c r="T519" s="2447"/>
      <c r="U519" s="2447"/>
      <c r="V519" s="2447"/>
      <c r="W519" s="2447"/>
      <c r="X519" s="2447"/>
      <c r="Y519" s="2447"/>
      <c r="Z519" s="2447"/>
      <c r="AA519" s="2447"/>
      <c r="AB519" s="2447"/>
      <c r="AC519" s="2447"/>
      <c r="AD519" s="2447"/>
      <c r="AE519" s="244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8" t="s">
        <v>591</v>
      </c>
      <c r="G521" s="2448"/>
      <c r="H521" s="244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6" t="s">
        <v>591</v>
      </c>
      <c r="D523" s="2417"/>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4"/>
      <c r="D525" s="2418"/>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5" t="s">
        <v>591</v>
      </c>
      <c r="H526" s="2475"/>
      <c r="I526" s="2475"/>
      <c r="J526" s="2475"/>
      <c r="K526" s="2475"/>
      <c r="L526" s="2475"/>
      <c r="M526" s="2475"/>
      <c r="N526" s="2475"/>
      <c r="O526" s="2475"/>
      <c r="P526" s="2475"/>
      <c r="Q526" s="2475"/>
      <c r="R526" s="2475"/>
      <c r="S526" s="2475"/>
      <c r="T526" s="2475"/>
      <c r="U526" s="2475"/>
      <c r="V526" s="2475"/>
      <c r="W526" s="2475"/>
      <c r="X526" s="2475"/>
      <c r="Y526" s="2475"/>
      <c r="Z526" s="2475"/>
      <c r="AA526" s="2475"/>
      <c r="AB526" s="2475"/>
      <c r="AC526" s="2475"/>
      <c r="AD526" s="2475"/>
      <c r="AE526" s="2475"/>
      <c r="AF526" s="247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6" t="s">
        <v>591</v>
      </c>
      <c r="D528" s="2477"/>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6" t="s">
        <v>591</v>
      </c>
      <c r="D532" s="2477"/>
      <c r="F532" s="791" t="s">
        <v>1538</v>
      </c>
      <c r="G532" s="2442" t="s">
        <v>1539</v>
      </c>
      <c r="H532" s="2442"/>
      <c r="I532" s="2442"/>
      <c r="J532" s="2442"/>
      <c r="K532" s="2442"/>
      <c r="L532" s="2442"/>
      <c r="M532" s="2442"/>
      <c r="N532" s="2442"/>
      <c r="O532" s="2442"/>
      <c r="P532" s="2442"/>
      <c r="Q532" s="2442"/>
      <c r="R532" s="2442"/>
      <c r="S532" s="2442"/>
      <c r="T532" s="2442"/>
      <c r="U532" s="2442"/>
      <c r="V532" s="2442"/>
      <c r="W532" s="2442"/>
      <c r="X532" s="2442"/>
      <c r="Y532" s="2442"/>
      <c r="Z532" s="2442"/>
      <c r="AA532" s="2442"/>
      <c r="AB532" s="2442"/>
      <c r="AC532" s="2442"/>
      <c r="AD532" s="2442"/>
      <c r="AE532" s="2442"/>
      <c r="AF532" s="2442"/>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3"/>
      <c r="H533" s="2443"/>
      <c r="I533" s="2443"/>
      <c r="J533" s="2443"/>
      <c r="K533" s="2443"/>
      <c r="L533" s="2443"/>
      <c r="M533" s="2443"/>
      <c r="N533" s="2443"/>
      <c r="O533" s="2443"/>
      <c r="P533" s="2443"/>
      <c r="Q533" s="2443"/>
      <c r="R533" s="2443"/>
      <c r="S533" s="2443"/>
      <c r="T533" s="2443"/>
      <c r="U533" s="2443"/>
      <c r="V533" s="2443"/>
      <c r="W533" s="2443"/>
      <c r="X533" s="2443"/>
      <c r="Y533" s="2443"/>
      <c r="Z533" s="2443"/>
      <c r="AA533" s="2443"/>
      <c r="AB533" s="2443"/>
      <c r="AC533" s="2443"/>
      <c r="AD533" s="2443"/>
      <c r="AE533" s="2443"/>
      <c r="AF533" s="244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8" t="s">
        <v>591</v>
      </c>
      <c r="D536" s="2479"/>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0" t="s">
        <v>591</v>
      </c>
      <c r="G537" s="2480"/>
      <c r="H537" s="2480"/>
      <c r="I537" s="2480"/>
      <c r="J537" s="2480"/>
      <c r="K537" s="2480"/>
      <c r="L537" s="2480"/>
      <c r="M537" s="2480"/>
      <c r="N537" s="2480"/>
      <c r="O537" s="2480"/>
      <c r="P537" s="2480"/>
      <c r="Q537" s="2480"/>
      <c r="R537" s="2480"/>
      <c r="S537" s="2480"/>
      <c r="T537" s="2480"/>
      <c r="U537" s="2480"/>
      <c r="V537" s="2480"/>
      <c r="W537" s="2480"/>
      <c r="X537" s="2480"/>
      <c r="Y537" s="2480"/>
      <c r="Z537" s="2480"/>
      <c r="AA537" s="2480"/>
      <c r="AB537" s="2480"/>
      <c r="AC537" s="2480"/>
      <c r="AD537" s="2480"/>
      <c r="AE537" s="2480"/>
      <c r="AF537" s="248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1"/>
      <c r="G538" s="2481"/>
      <c r="H538" s="2481"/>
      <c r="I538" s="2481"/>
      <c r="J538" s="2481"/>
      <c r="K538" s="2481"/>
      <c r="L538" s="2481"/>
      <c r="M538" s="2481"/>
      <c r="N538" s="2481"/>
      <c r="O538" s="2481"/>
      <c r="P538" s="2481"/>
      <c r="Q538" s="2481"/>
      <c r="R538" s="2481"/>
      <c r="S538" s="2481"/>
      <c r="T538" s="2481"/>
      <c r="U538" s="2481"/>
      <c r="V538" s="2481"/>
      <c r="W538" s="2481"/>
      <c r="X538" s="2481"/>
      <c r="Y538" s="2481"/>
      <c r="Z538" s="2481"/>
      <c r="AA538" s="2481"/>
      <c r="AB538" s="2481"/>
      <c r="AC538" s="2481"/>
      <c r="AD538" s="2481"/>
      <c r="AE538" s="2481"/>
      <c r="AF538" s="248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4">
        <f>SUM(AG492:AG537)</f>
        <v>0</v>
      </c>
      <c r="AL548" s="2440"/>
      <c r="AM548" s="239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1" t="s">
        <v>1551</v>
      </c>
      <c r="AF551" s="2451"/>
      <c r="AG551" s="2451"/>
      <c r="AH551" s="2451"/>
      <c r="AI551" s="2451"/>
      <c r="AJ551" s="2451"/>
      <c r="AK551" s="2451"/>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3" t="s">
        <v>545</v>
      </c>
      <c r="D554" s="2413"/>
      <c r="E554" s="550"/>
      <c r="F554" s="2553" t="s">
        <v>1552</v>
      </c>
      <c r="G554" s="2554"/>
      <c r="H554" s="2554"/>
      <c r="I554" s="2554"/>
      <c r="J554" s="2554"/>
      <c r="K554" s="2554"/>
      <c r="L554" s="2554"/>
      <c r="M554" s="2554"/>
      <c r="N554" s="2554"/>
      <c r="O554" s="2554"/>
      <c r="P554" s="2554"/>
      <c r="Q554" s="2554"/>
      <c r="R554" s="2554"/>
      <c r="S554" s="2554"/>
      <c r="T554" s="2554"/>
      <c r="U554" s="2554"/>
      <c r="V554" s="2554"/>
      <c r="W554" s="2554"/>
      <c r="X554" s="2554"/>
      <c r="Y554" s="2554"/>
      <c r="Z554" s="2554"/>
      <c r="AA554" s="2554"/>
      <c r="AB554" s="2554"/>
      <c r="AC554" s="2554"/>
      <c r="AD554" s="2554"/>
      <c r="AE554" s="2554"/>
      <c r="AF554" s="2554"/>
      <c r="AG554" s="2554"/>
      <c r="AH554" s="2554"/>
      <c r="AI554" s="2554"/>
      <c r="AJ554" s="2554"/>
      <c r="AK554" s="2554"/>
      <c r="AL554" s="2555"/>
      <c r="AM554" s="593"/>
      <c r="AN554" s="595"/>
    </row>
    <row r="555" spans="1:81" s="549" customFormat="1" ht="12.75" customHeight="1">
      <c r="B555" s="539"/>
      <c r="C555" s="550"/>
      <c r="D555" s="550"/>
      <c r="E555" s="550"/>
      <c r="F555" s="2556"/>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7"/>
      <c r="AK555" s="2557"/>
      <c r="AL555" s="255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3" t="s">
        <v>591</v>
      </c>
      <c r="D557" s="2413"/>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3" t="s">
        <v>2623</v>
      </c>
      <c r="G558" s="2391"/>
      <c r="H558" s="2391"/>
      <c r="I558" s="2391"/>
      <c r="J558" s="2391"/>
      <c r="K558" s="2391"/>
      <c r="L558" s="2391"/>
      <c r="M558" s="2391"/>
      <c r="N558" s="2391"/>
      <c r="O558" s="2391"/>
      <c r="P558" s="2391"/>
      <c r="Q558" s="2391"/>
      <c r="R558" s="2391"/>
      <c r="S558" s="2391"/>
      <c r="T558" s="2391"/>
      <c r="U558" s="2391"/>
      <c r="V558" s="2391"/>
      <c r="W558" s="2391"/>
      <c r="X558" s="2391"/>
      <c r="Y558" s="2391"/>
      <c r="Z558" s="2391"/>
      <c r="AA558" s="2391"/>
      <c r="AB558" s="2391"/>
      <c r="AC558" s="2391"/>
      <c r="AD558" s="2391"/>
      <c r="AE558" s="2391"/>
      <c r="AF558" s="2391"/>
      <c r="AG558" s="2391"/>
      <c r="AH558" s="2391"/>
      <c r="AI558" s="2391"/>
      <c r="AJ558" s="2391"/>
      <c r="AK558" s="2391"/>
      <c r="AL558" s="2434"/>
      <c r="AM558" s="593"/>
      <c r="AN558" s="595"/>
      <c r="AS558" s="866"/>
      <c r="AT558" s="866"/>
      <c r="AU558" s="866"/>
      <c r="AV558" s="866"/>
      <c r="AW558" s="866"/>
    </row>
    <row r="559" spans="1:81" s="549" customFormat="1" ht="12.75" customHeight="1">
      <c r="B559" s="802"/>
      <c r="C559" s="802"/>
      <c r="D559" s="802"/>
      <c r="E559" s="802"/>
      <c r="F559" s="2433"/>
      <c r="G559" s="2391"/>
      <c r="H559" s="2391"/>
      <c r="I559" s="2391"/>
      <c r="J559" s="2391"/>
      <c r="K559" s="2391"/>
      <c r="L559" s="2391"/>
      <c r="M559" s="2391"/>
      <c r="N559" s="2391"/>
      <c r="O559" s="2391"/>
      <c r="P559" s="2391"/>
      <c r="Q559" s="2391"/>
      <c r="R559" s="2391"/>
      <c r="S559" s="2391"/>
      <c r="T559" s="2391"/>
      <c r="U559" s="2391"/>
      <c r="V559" s="2391"/>
      <c r="W559" s="2391"/>
      <c r="X559" s="2391"/>
      <c r="Y559" s="2391"/>
      <c r="Z559" s="2391"/>
      <c r="AA559" s="2391"/>
      <c r="AB559" s="2391"/>
      <c r="AC559" s="2391"/>
      <c r="AD559" s="2391"/>
      <c r="AE559" s="2391"/>
      <c r="AF559" s="2391"/>
      <c r="AG559" s="2391"/>
      <c r="AH559" s="2391"/>
      <c r="AI559" s="2391"/>
      <c r="AJ559" s="2391"/>
      <c r="AK559" s="2391"/>
      <c r="AL559" s="2434"/>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3" t="s">
        <v>1554</v>
      </c>
      <c r="G561" s="2391"/>
      <c r="H561" s="2391"/>
      <c r="I561" s="2391"/>
      <c r="J561" s="2391"/>
      <c r="K561" s="2391"/>
      <c r="L561" s="2391"/>
      <c r="M561" s="2391"/>
      <c r="N561" s="2391"/>
      <c r="O561" s="2391"/>
      <c r="P561" s="2391"/>
      <c r="Q561" s="2391"/>
      <c r="R561" s="2391"/>
      <c r="S561" s="2391"/>
      <c r="T561" s="2391"/>
      <c r="U561" s="2391"/>
      <c r="V561" s="2391"/>
      <c r="W561" s="2391"/>
      <c r="X561" s="2391"/>
      <c r="Y561" s="2391"/>
      <c r="Z561" s="2391"/>
      <c r="AA561" s="2391"/>
      <c r="AB561" s="2391"/>
      <c r="AC561" s="2391"/>
      <c r="AD561" s="2391"/>
      <c r="AE561" s="2391"/>
      <c r="AF561" s="2391"/>
      <c r="AG561" s="2391"/>
      <c r="AH561" s="2391"/>
      <c r="AI561" s="2391"/>
      <c r="AJ561" s="2391"/>
      <c r="AK561" s="2391"/>
      <c r="AL561" s="809"/>
      <c r="AM561" s="593"/>
      <c r="AN561" s="595"/>
    </row>
    <row r="562" spans="1:45" s="549" customFormat="1" ht="12.75" customHeight="1">
      <c r="B562" s="802"/>
      <c r="C562" s="802"/>
      <c r="D562" s="802"/>
      <c r="E562" s="802"/>
      <c r="F562" s="2435"/>
      <c r="G562" s="2436"/>
      <c r="H562" s="2436"/>
      <c r="I562" s="2436"/>
      <c r="J562" s="2436"/>
      <c r="K562" s="2436"/>
      <c r="L562" s="2436"/>
      <c r="M562" s="2436"/>
      <c r="N562" s="2436"/>
      <c r="O562" s="2436"/>
      <c r="P562" s="2436"/>
      <c r="Q562" s="2436"/>
      <c r="R562" s="2436"/>
      <c r="S562" s="2436"/>
      <c r="T562" s="2436"/>
      <c r="U562" s="2436"/>
      <c r="V562" s="2436"/>
      <c r="W562" s="2436"/>
      <c r="X562" s="2436"/>
      <c r="Y562" s="2436"/>
      <c r="Z562" s="2436"/>
      <c r="AA562" s="2436"/>
      <c r="AB562" s="2436"/>
      <c r="AC562" s="2436"/>
      <c r="AD562" s="2436"/>
      <c r="AE562" s="2436"/>
      <c r="AF562" s="2436"/>
      <c r="AG562" s="2436"/>
      <c r="AH562" s="2436"/>
      <c r="AI562" s="2436"/>
      <c r="AJ562" s="2436"/>
      <c r="AK562" s="243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2">
        <f>Application!AJ1001</f>
        <v>98845872</v>
      </c>
      <c r="AQ563" s="2432"/>
      <c r="AR563" s="2432"/>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7">
        <f>'Sources and Uses Budget'!S107+'Sources and Uses Budget'!T107</f>
        <v>57695884</v>
      </c>
      <c r="AG564" s="2437"/>
      <c r="AH564" s="2437"/>
      <c r="AI564" s="2437"/>
      <c r="AJ564" s="2437"/>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8">
        <f>IFERROR(AP572,0)</f>
        <v>138384220.59999999</v>
      </c>
      <c r="AG565" s="2438"/>
      <c r="AH565" s="2438"/>
      <c r="AI565" s="2438"/>
      <c r="AJ565" s="2438"/>
      <c r="AK565" s="593"/>
      <c r="AL565" s="593"/>
      <c r="AM565" s="593"/>
      <c r="AN565" s="595"/>
      <c r="AP565" s="2432">
        <f>Application!AJ1054</f>
        <v>9884587.2000000011</v>
      </c>
      <c r="AQ565" s="2432"/>
      <c r="AR565" s="2432"/>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9">
        <f>IFERROR(ROUNDDOWN(IF(C557="YES",((1-(AF564/AF565))*2),(1-(AF564/AF565))),2),0)</f>
        <v>0.57999999999999996</v>
      </c>
      <c r="AG566" s="2439"/>
      <c r="AH566" s="2439"/>
      <c r="AI566" s="2439"/>
      <c r="AJ566" s="2439"/>
      <c r="AK566" s="593"/>
      <c r="AL566" s="593"/>
      <c r="AM566" s="593"/>
      <c r="AN566" s="595"/>
      <c r="AP566" s="2430">
        <f>Application!AJ1058</f>
        <v>19769174.400000002</v>
      </c>
      <c r="AQ566" s="2430"/>
      <c r="AR566" s="2430"/>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0">
        <f>IF(((AP565+AP566)/AP563)&gt;0.8,0.8,((AP565+AP566)/AP563))</f>
        <v>0.3</v>
      </c>
      <c r="AQ567" s="2460"/>
      <c r="AR567" s="2460"/>
      <c r="AS567" s="549" t="s">
        <v>2125</v>
      </c>
    </row>
    <row r="568" spans="1:45" s="549" customFormat="1" ht="12.75" customHeight="1">
      <c r="A568" s="622"/>
      <c r="B568" s="2510" t="s">
        <v>1992</v>
      </c>
      <c r="C568" s="2511"/>
      <c r="D568" s="2511"/>
      <c r="E568" s="2511"/>
      <c r="F568" s="2511"/>
      <c r="G568" s="2511"/>
      <c r="H568" s="2511"/>
      <c r="I568" s="2511"/>
      <c r="J568" s="2511"/>
      <c r="K568" s="2511"/>
      <c r="L568" s="2511"/>
      <c r="M568" s="2511"/>
      <c r="N568" s="2511"/>
      <c r="O568" s="2511"/>
      <c r="P568" s="2511"/>
      <c r="Q568" s="2511"/>
      <c r="R568" s="2511"/>
      <c r="S568" s="2511"/>
      <c r="T568" s="2511"/>
      <c r="U568" s="2511"/>
      <c r="V568" s="2511"/>
      <c r="W568" s="2511"/>
      <c r="X568" s="2511"/>
      <c r="Y568" s="2511"/>
      <c r="Z568" s="2511"/>
      <c r="AA568" s="2511"/>
      <c r="AB568" s="2511"/>
      <c r="AC568" s="2511"/>
      <c r="AD568" s="2511"/>
      <c r="AE568" s="2511"/>
      <c r="AF568" s="2511"/>
      <c r="AG568" s="2511"/>
      <c r="AH568" s="2511"/>
      <c r="AI568" s="2511"/>
      <c r="AJ568" s="2512"/>
      <c r="AK568" s="593"/>
      <c r="AL568" s="593"/>
      <c r="AM568" s="593"/>
      <c r="AN568" s="595"/>
    </row>
    <row r="569" spans="1:45" s="549" customFormat="1" ht="12.75" customHeight="1">
      <c r="A569" s="622"/>
      <c r="B569" s="2513"/>
      <c r="C569" s="2514"/>
      <c r="D569" s="2514"/>
      <c r="E569" s="2514"/>
      <c r="F569" s="2514"/>
      <c r="G569" s="2514"/>
      <c r="H569" s="2514"/>
      <c r="I569" s="2514"/>
      <c r="J569" s="2514"/>
      <c r="K569" s="2514"/>
      <c r="L569" s="2514"/>
      <c r="M569" s="2514"/>
      <c r="N569" s="2514"/>
      <c r="O569" s="2514"/>
      <c r="P569" s="2514"/>
      <c r="Q569" s="2514"/>
      <c r="R569" s="2514"/>
      <c r="S569" s="2514"/>
      <c r="T569" s="2514"/>
      <c r="U569" s="2514"/>
      <c r="V569" s="2514"/>
      <c r="W569" s="2514"/>
      <c r="X569" s="2514"/>
      <c r="Y569" s="2514"/>
      <c r="Z569" s="2514"/>
      <c r="AA569" s="2514"/>
      <c r="AB569" s="2514"/>
      <c r="AC569" s="2514"/>
      <c r="AD569" s="2514"/>
      <c r="AE569" s="2514"/>
      <c r="AF569" s="2514"/>
      <c r="AG569" s="2514"/>
      <c r="AH569" s="2514"/>
      <c r="AI569" s="2514"/>
      <c r="AJ569" s="2515"/>
      <c r="AK569" s="593"/>
      <c r="AL569" s="593"/>
      <c r="AM569" s="593"/>
      <c r="AN569" s="595"/>
      <c r="AP569" s="2432">
        <f>AP570-AP565-AP566</f>
        <v>108730458.99999999</v>
      </c>
      <c r="AQ569" s="2461"/>
      <c r="AR569" s="2461"/>
      <c r="AS569" s="549" t="s">
        <v>2127</v>
      </c>
    </row>
    <row r="570" spans="1:45" s="549" customFormat="1" ht="12.75" customHeight="1">
      <c r="A570" s="622"/>
      <c r="B570" s="2516"/>
      <c r="C570" s="2517"/>
      <c r="D570" s="2517"/>
      <c r="E570" s="2517"/>
      <c r="F570" s="2517"/>
      <c r="G570" s="2517"/>
      <c r="H570" s="2517"/>
      <c r="I570" s="2517"/>
      <c r="J570" s="2517"/>
      <c r="K570" s="2517"/>
      <c r="L570" s="2517"/>
      <c r="M570" s="2517"/>
      <c r="N570" s="2517"/>
      <c r="O570" s="2517"/>
      <c r="P570" s="2517"/>
      <c r="Q570" s="2517"/>
      <c r="R570" s="2517"/>
      <c r="S570" s="2517"/>
      <c r="T570" s="2517"/>
      <c r="U570" s="2517"/>
      <c r="V570" s="2517"/>
      <c r="W570" s="2517"/>
      <c r="X570" s="2517"/>
      <c r="Y570" s="2517"/>
      <c r="Z570" s="2517"/>
      <c r="AA570" s="2517"/>
      <c r="AB570" s="2517"/>
      <c r="AC570" s="2517"/>
      <c r="AD570" s="2517"/>
      <c r="AE570" s="2517"/>
      <c r="AF570" s="2517"/>
      <c r="AG570" s="2517"/>
      <c r="AH570" s="2517"/>
      <c r="AI570" s="2517"/>
      <c r="AJ570" s="2518"/>
      <c r="AK570" s="593"/>
      <c r="AL570" s="593"/>
      <c r="AM570" s="593"/>
      <c r="AN570" s="595"/>
      <c r="AP570" s="2432">
        <f>Application!AJ1062</f>
        <v>138384220.59999999</v>
      </c>
      <c r="AQ570" s="2432"/>
      <c r="AR570" s="2432"/>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9">
        <f>IFERROR(IF(AND(C554="N/A",C557="N/A"),0,IF(AF566=0,0,IF((AF566*100)&gt;12,12,(AF566*100)))),0)</f>
        <v>12</v>
      </c>
      <c r="AL572" s="2519"/>
      <c r="AM572" s="2520"/>
      <c r="AN572" s="595"/>
      <c r="AP572" s="2421">
        <f>AP569+(AP563*AP567)</f>
        <v>138384220.59999999</v>
      </c>
      <c r="AQ572" s="2422"/>
      <c r="AR572" s="242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1" t="s">
        <v>1308</v>
      </c>
      <c r="AF575" s="2451"/>
      <c r="AG575" s="2451"/>
      <c r="AH575" s="2451"/>
      <c r="AI575" s="2451"/>
      <c r="AJ575" s="2451"/>
      <c r="AK575" s="2451"/>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1" t="s">
        <v>1984</v>
      </c>
      <c r="C577" s="2391"/>
      <c r="D577" s="2391"/>
      <c r="E577" s="2391"/>
      <c r="F577" s="2391"/>
      <c r="G577" s="2391"/>
      <c r="H577" s="2391"/>
      <c r="I577" s="2391"/>
      <c r="J577" s="2391"/>
      <c r="K577" s="2391"/>
      <c r="L577" s="2391"/>
      <c r="M577" s="2391"/>
      <c r="N577" s="2391"/>
      <c r="O577" s="2391"/>
      <c r="P577" s="2391"/>
      <c r="Q577" s="2391"/>
      <c r="R577" s="2391"/>
      <c r="S577" s="2391"/>
      <c r="T577" s="2391"/>
      <c r="U577" s="2391"/>
      <c r="V577" s="2391"/>
      <c r="W577" s="2391"/>
      <c r="X577" s="2391"/>
      <c r="Y577" s="2391"/>
      <c r="Z577" s="2391"/>
      <c r="AA577" s="2391"/>
      <c r="AB577" s="2391"/>
      <c r="AC577" s="2391"/>
      <c r="AD577" s="2391"/>
      <c r="AE577" s="2391"/>
      <c r="AF577" s="2391"/>
      <c r="AG577" s="2391"/>
      <c r="AH577" s="2391"/>
      <c r="AI577" s="2391"/>
      <c r="AJ577" s="2391"/>
      <c r="AK577" s="640"/>
      <c r="AL577" s="571"/>
      <c r="AM577" s="601"/>
      <c r="AN577" s="595"/>
    </row>
    <row r="578" spans="1:42" s="549" customFormat="1" ht="12.75" customHeight="1">
      <c r="A578" s="601"/>
      <c r="B578" s="2391"/>
      <c r="C578" s="2391"/>
      <c r="D578" s="2391"/>
      <c r="E578" s="2391"/>
      <c r="F578" s="2391"/>
      <c r="G578" s="2391"/>
      <c r="H578" s="2391"/>
      <c r="I578" s="2391"/>
      <c r="J578" s="2391"/>
      <c r="K578" s="2391"/>
      <c r="L578" s="2391"/>
      <c r="M578" s="2391"/>
      <c r="N578" s="2391"/>
      <c r="O578" s="2391"/>
      <c r="P578" s="2391"/>
      <c r="Q578" s="2391"/>
      <c r="R578" s="2391"/>
      <c r="S578" s="2391"/>
      <c r="T578" s="2391"/>
      <c r="U578" s="2391"/>
      <c r="V578" s="2391"/>
      <c r="W578" s="2391"/>
      <c r="X578" s="2391"/>
      <c r="Y578" s="2391"/>
      <c r="Z578" s="2391"/>
      <c r="AA578" s="2391"/>
      <c r="AB578" s="2391"/>
      <c r="AC578" s="2391"/>
      <c r="AD578" s="2391"/>
      <c r="AE578" s="2391"/>
      <c r="AF578" s="2391"/>
      <c r="AG578" s="2391"/>
      <c r="AH578" s="2391"/>
      <c r="AI578" s="2391"/>
      <c r="AJ578" s="2391"/>
      <c r="AK578" s="640"/>
      <c r="AL578" s="571"/>
      <c r="AM578" s="601"/>
      <c r="AN578" s="595"/>
    </row>
    <row r="579" spans="1:42" s="549" customFormat="1" ht="12.75" customHeight="1">
      <c r="A579" s="601"/>
      <c r="B579" s="2391"/>
      <c r="C579" s="2391"/>
      <c r="D579" s="2391"/>
      <c r="E579" s="2391"/>
      <c r="F579" s="2391"/>
      <c r="G579" s="2391"/>
      <c r="H579" s="2391"/>
      <c r="I579" s="2391"/>
      <c r="J579" s="2391"/>
      <c r="K579" s="2391"/>
      <c r="L579" s="2391"/>
      <c r="M579" s="2391"/>
      <c r="N579" s="2391"/>
      <c r="O579" s="2391"/>
      <c r="P579" s="2391"/>
      <c r="Q579" s="2391"/>
      <c r="R579" s="2391"/>
      <c r="S579" s="2391"/>
      <c r="T579" s="2391"/>
      <c r="U579" s="2391"/>
      <c r="V579" s="2391"/>
      <c r="W579" s="2391"/>
      <c r="X579" s="2391"/>
      <c r="Y579" s="2391"/>
      <c r="Z579" s="2391"/>
      <c r="AA579" s="2391"/>
      <c r="AB579" s="2391"/>
      <c r="AC579" s="2391"/>
      <c r="AD579" s="2391"/>
      <c r="AE579" s="2391"/>
      <c r="AF579" s="2391"/>
      <c r="AG579" s="2391"/>
      <c r="AH579" s="2391"/>
      <c r="AI579" s="2391"/>
      <c r="AJ579" s="2391"/>
      <c r="AK579" s="640"/>
      <c r="AL579" s="571"/>
      <c r="AM579" s="601"/>
      <c r="AN579" s="595"/>
    </row>
    <row r="580" spans="1:42" s="549" customFormat="1" ht="12.75" customHeight="1">
      <c r="A580" s="601"/>
      <c r="B580" s="2391"/>
      <c r="C580" s="2391"/>
      <c r="D580" s="2391"/>
      <c r="E580" s="2391"/>
      <c r="F580" s="2391"/>
      <c r="G580" s="2391"/>
      <c r="H580" s="2391"/>
      <c r="I580" s="2391"/>
      <c r="J580" s="2391"/>
      <c r="K580" s="2391"/>
      <c r="L580" s="2391"/>
      <c r="M580" s="2391"/>
      <c r="N580" s="2391"/>
      <c r="O580" s="2391"/>
      <c r="P580" s="2391"/>
      <c r="Q580" s="2391"/>
      <c r="R580" s="2391"/>
      <c r="S580" s="2391"/>
      <c r="T580" s="2391"/>
      <c r="U580" s="2391"/>
      <c r="V580" s="2391"/>
      <c r="W580" s="2391"/>
      <c r="X580" s="2391"/>
      <c r="Y580" s="2391"/>
      <c r="Z580" s="2391"/>
      <c r="AA580" s="2391"/>
      <c r="AB580" s="2391"/>
      <c r="AC580" s="2391"/>
      <c r="AD580" s="2391"/>
      <c r="AE580" s="2391"/>
      <c r="AF580" s="2391"/>
      <c r="AG580" s="2391"/>
      <c r="AH580" s="2391"/>
      <c r="AI580" s="2391"/>
      <c r="AJ580" s="2391"/>
      <c r="AK580" s="640"/>
      <c r="AL580" s="571"/>
      <c r="AM580" s="601"/>
      <c r="AN580" s="595"/>
    </row>
    <row r="581" spans="1:42" s="549" customFormat="1" ht="12.75" customHeight="1">
      <c r="A581" s="601"/>
      <c r="B581" s="2391"/>
      <c r="C581" s="2391"/>
      <c r="D581" s="2391"/>
      <c r="E581" s="2391"/>
      <c r="F581" s="2391"/>
      <c r="G581" s="2391"/>
      <c r="H581" s="2391"/>
      <c r="I581" s="2391"/>
      <c r="J581" s="2391"/>
      <c r="K581" s="2391"/>
      <c r="L581" s="2391"/>
      <c r="M581" s="2391"/>
      <c r="N581" s="2391"/>
      <c r="O581" s="2391"/>
      <c r="P581" s="2391"/>
      <c r="Q581" s="2391"/>
      <c r="R581" s="2391"/>
      <c r="S581" s="2391"/>
      <c r="T581" s="2391"/>
      <c r="U581" s="2391"/>
      <c r="V581" s="2391"/>
      <c r="W581" s="2391"/>
      <c r="X581" s="2391"/>
      <c r="Y581" s="2391"/>
      <c r="Z581" s="2391"/>
      <c r="AA581" s="2391"/>
      <c r="AB581" s="2391"/>
      <c r="AC581" s="2391"/>
      <c r="AD581" s="2391"/>
      <c r="AE581" s="2391"/>
      <c r="AF581" s="2391"/>
      <c r="AG581" s="2391"/>
      <c r="AH581" s="2391"/>
      <c r="AI581" s="2391"/>
      <c r="AJ581" s="2391"/>
      <c r="AK581" s="640"/>
      <c r="AL581" s="571"/>
      <c r="AM581" s="601"/>
      <c r="AN581" s="595"/>
    </row>
    <row r="582" spans="1:42" s="549" customFormat="1" ht="12.75" customHeight="1">
      <c r="A582" s="601"/>
      <c r="B582" s="2391"/>
      <c r="C582" s="2391"/>
      <c r="D582" s="2391"/>
      <c r="E582" s="2391"/>
      <c r="F582" s="2391"/>
      <c r="G582" s="2391"/>
      <c r="H582" s="2391"/>
      <c r="I582" s="2391"/>
      <c r="J582" s="2391"/>
      <c r="K582" s="2391"/>
      <c r="L582" s="2391"/>
      <c r="M582" s="2391"/>
      <c r="N582" s="2391"/>
      <c r="O582" s="2391"/>
      <c r="P582" s="2391"/>
      <c r="Q582" s="2391"/>
      <c r="R582" s="2391"/>
      <c r="S582" s="2391"/>
      <c r="T582" s="2391"/>
      <c r="U582" s="2391"/>
      <c r="V582" s="2391"/>
      <c r="W582" s="2391"/>
      <c r="X582" s="2391"/>
      <c r="Y582" s="2391"/>
      <c r="Z582" s="2391"/>
      <c r="AA582" s="2391"/>
      <c r="AB582" s="2391"/>
      <c r="AC582" s="2391"/>
      <c r="AD582" s="2391"/>
      <c r="AE582" s="2391"/>
      <c r="AF582" s="2391"/>
      <c r="AG582" s="2391"/>
      <c r="AH582" s="2391"/>
      <c r="AI582" s="2391"/>
      <c r="AJ582" s="2391"/>
      <c r="AK582" s="640"/>
      <c r="AL582" s="571"/>
      <c r="AM582" s="601"/>
      <c r="AN582" s="595"/>
    </row>
    <row r="583" spans="1:42" s="549" customFormat="1" ht="12.75" customHeight="1">
      <c r="A583" s="601"/>
      <c r="B583" s="2391"/>
      <c r="C583" s="2391"/>
      <c r="D583" s="2391"/>
      <c r="E583" s="2391"/>
      <c r="F583" s="2391"/>
      <c r="G583" s="2391"/>
      <c r="H583" s="2391"/>
      <c r="I583" s="2391"/>
      <c r="J583" s="2391"/>
      <c r="K583" s="2391"/>
      <c r="L583" s="2391"/>
      <c r="M583" s="2391"/>
      <c r="N583" s="2391"/>
      <c r="O583" s="2391"/>
      <c r="P583" s="2391"/>
      <c r="Q583" s="2391"/>
      <c r="R583" s="2391"/>
      <c r="S583" s="2391"/>
      <c r="T583" s="2391"/>
      <c r="U583" s="2391"/>
      <c r="V583" s="2391"/>
      <c r="W583" s="2391"/>
      <c r="X583" s="2391"/>
      <c r="Y583" s="2391"/>
      <c r="Z583" s="2391"/>
      <c r="AA583" s="2391"/>
      <c r="AB583" s="2391"/>
      <c r="AC583" s="2391"/>
      <c r="AD583" s="2391"/>
      <c r="AE583" s="2391"/>
      <c r="AF583" s="2391"/>
      <c r="AG583" s="2391"/>
      <c r="AH583" s="2391"/>
      <c r="AI583" s="2391"/>
      <c r="AJ583" s="2391"/>
      <c r="AK583" s="640"/>
      <c r="AL583" s="571"/>
      <c r="AM583" s="601"/>
      <c r="AN583" s="595"/>
    </row>
    <row r="584" spans="1:42" ht="12.75" customHeight="1">
      <c r="A584" s="601"/>
      <c r="B584" s="2391"/>
      <c r="C584" s="2391"/>
      <c r="D584" s="2391"/>
      <c r="E584" s="2391"/>
      <c r="F584" s="2391"/>
      <c r="G584" s="2391"/>
      <c r="H584" s="2391"/>
      <c r="I584" s="2391"/>
      <c r="J584" s="2391"/>
      <c r="K584" s="2391"/>
      <c r="L584" s="2391"/>
      <c r="M584" s="2391"/>
      <c r="N584" s="2391"/>
      <c r="O584" s="2391"/>
      <c r="P584" s="2391"/>
      <c r="Q584" s="2391"/>
      <c r="R584" s="2391"/>
      <c r="S584" s="2391"/>
      <c r="T584" s="2391"/>
      <c r="U584" s="2391"/>
      <c r="V584" s="2391"/>
      <c r="W584" s="2391"/>
      <c r="X584" s="2391"/>
      <c r="Y584" s="2391"/>
      <c r="Z584" s="2391"/>
      <c r="AA584" s="2391"/>
      <c r="AB584" s="2391"/>
      <c r="AC584" s="2391"/>
      <c r="AD584" s="2391"/>
      <c r="AE584" s="2391"/>
      <c r="AF584" s="2391"/>
      <c r="AG584" s="2391"/>
      <c r="AH584" s="2391"/>
      <c r="AI584" s="2391"/>
      <c r="AJ584" s="2391"/>
      <c r="AK584" s="640"/>
      <c r="AL584" s="571"/>
      <c r="AM584" s="601"/>
    </row>
    <row r="585" spans="1:42" s="549" customFormat="1" ht="12.75" customHeight="1">
      <c r="B585" s="2391"/>
      <c r="C585" s="2391"/>
      <c r="D585" s="2391"/>
      <c r="E585" s="2391"/>
      <c r="F585" s="2391"/>
      <c r="G585" s="2391"/>
      <c r="H585" s="2391"/>
      <c r="I585" s="2391"/>
      <c r="J585" s="2391"/>
      <c r="K585" s="2391"/>
      <c r="L585" s="2391"/>
      <c r="M585" s="2391"/>
      <c r="N585" s="2391"/>
      <c r="O585" s="2391"/>
      <c r="P585" s="2391"/>
      <c r="Q585" s="2391"/>
      <c r="R585" s="2391"/>
      <c r="S585" s="2391"/>
      <c r="T585" s="2391"/>
      <c r="U585" s="2391"/>
      <c r="V585" s="2391"/>
      <c r="W585" s="2391"/>
      <c r="X585" s="2391"/>
      <c r="Y585" s="2391"/>
      <c r="Z585" s="2391"/>
      <c r="AA585" s="2391"/>
      <c r="AB585" s="2391"/>
      <c r="AC585" s="2391"/>
      <c r="AD585" s="2391"/>
      <c r="AE585" s="2391"/>
      <c r="AF585" s="2391"/>
      <c r="AG585" s="2391"/>
      <c r="AH585" s="2391"/>
      <c r="AI585" s="2391"/>
      <c r="AJ585" s="2391"/>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2" t="s">
        <v>1332</v>
      </c>
      <c r="AG591" s="2392"/>
      <c r="AH591" s="2392"/>
      <c r="AI591" s="2392"/>
      <c r="AJ591" s="2392"/>
      <c r="AK591" s="2392"/>
      <c r="AL591" s="2392"/>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2" t="s">
        <v>1388</v>
      </c>
      <c r="AG598" s="2392"/>
      <c r="AH598" s="2392"/>
      <c r="AI598" s="2392"/>
      <c r="AJ598" s="2392"/>
      <c r="AK598" s="2392"/>
      <c r="AL598" s="2392"/>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2" t="s">
        <v>1371</v>
      </c>
      <c r="AG604" s="2392"/>
      <c r="AH604" s="2392"/>
      <c r="AI604" s="2392"/>
      <c r="AJ604" s="2392"/>
      <c r="AK604" s="2392"/>
      <c r="AL604" s="2392"/>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2" t="s">
        <v>1391</v>
      </c>
      <c r="AG610" s="2392"/>
      <c r="AH610" s="2392"/>
      <c r="AI610" s="2392"/>
      <c r="AJ610" s="2392"/>
      <c r="AK610" s="2392"/>
      <c r="AL610" s="2392"/>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7" t="s">
        <v>1184</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2" t="s">
        <v>1346</v>
      </c>
      <c r="AG616" s="2392"/>
      <c r="AH616" s="2392"/>
      <c r="AI616" s="2392"/>
      <c r="AJ616" s="2392"/>
      <c r="AK616" s="2392"/>
      <c r="AL616" s="2392"/>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3" t="s">
        <v>1389</v>
      </c>
      <c r="I619" s="2393"/>
      <c r="J619" s="932"/>
      <c r="K619" s="932"/>
      <c r="L619" s="932"/>
      <c r="N619" s="22"/>
      <c r="O619" s="22"/>
      <c r="P619" s="22"/>
      <c r="Q619" s="1145" t="s">
        <v>2130</v>
      </c>
      <c r="R619" s="2538" t="s">
        <v>2131</v>
      </c>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6" t="s">
        <v>591</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9" t="s">
        <v>591</v>
      </c>
      <c r="C629" s="2399"/>
      <c r="D629" s="640"/>
      <c r="E629" s="2391" t="s">
        <v>1395</v>
      </c>
      <c r="F629" s="2391"/>
      <c r="G629" s="2391"/>
      <c r="H629" s="2391"/>
      <c r="I629" s="2391"/>
      <c r="J629" s="2391"/>
      <c r="K629" s="2391"/>
      <c r="L629" s="2391"/>
      <c r="M629" s="2391"/>
      <c r="N629" s="2391"/>
      <c r="O629" s="2391"/>
      <c r="P629" s="2391"/>
      <c r="Q629" s="2391"/>
      <c r="R629" s="2391"/>
      <c r="S629" s="2391"/>
      <c r="T629" s="2391"/>
      <c r="U629" s="2391"/>
      <c r="V629" s="2391"/>
      <c r="W629" s="2391"/>
      <c r="X629" s="2391"/>
      <c r="Y629" s="2391"/>
      <c r="Z629" s="2391"/>
      <c r="AA629" s="2391"/>
      <c r="AB629" s="2391"/>
      <c r="AC629" s="2391"/>
      <c r="AD629" s="2391"/>
      <c r="AE629" s="2391"/>
      <c r="AF629" s="2391"/>
      <c r="AG629" s="2391"/>
      <c r="AH629" s="640"/>
      <c r="AI629" s="640"/>
      <c r="AJ629" s="640"/>
      <c r="AK629" s="640"/>
      <c r="AL629" s="640"/>
      <c r="AN629" s="595"/>
    </row>
    <row r="630" spans="1:42" s="549" customFormat="1" ht="12.75" customHeight="1">
      <c r="B630" s="536"/>
      <c r="C630" s="929"/>
      <c r="D630" s="640"/>
      <c r="E630" s="2391"/>
      <c r="F630" s="2391"/>
      <c r="G630" s="2391"/>
      <c r="H630" s="2391"/>
      <c r="I630" s="2391"/>
      <c r="J630" s="2391"/>
      <c r="K630" s="2391"/>
      <c r="L630" s="2391"/>
      <c r="M630" s="2391"/>
      <c r="N630" s="2391"/>
      <c r="O630" s="2391"/>
      <c r="P630" s="2391"/>
      <c r="Q630" s="2391"/>
      <c r="R630" s="2391"/>
      <c r="S630" s="2391"/>
      <c r="T630" s="2391"/>
      <c r="U630" s="2391"/>
      <c r="V630" s="2391"/>
      <c r="W630" s="2391"/>
      <c r="X630" s="2391"/>
      <c r="Y630" s="2391"/>
      <c r="Z630" s="2391"/>
      <c r="AA630" s="2391"/>
      <c r="AB630" s="2391"/>
      <c r="AC630" s="2391"/>
      <c r="AD630" s="2391"/>
      <c r="AE630" s="2391"/>
      <c r="AF630" s="2391"/>
      <c r="AG630" s="2391"/>
      <c r="AH630" s="640"/>
      <c r="AI630" s="640"/>
      <c r="AJ630" s="640"/>
      <c r="AK630" s="640"/>
      <c r="AL630" s="640"/>
      <c r="AN630" s="595"/>
    </row>
    <row r="631" spans="1:42" s="549" customFormat="1" ht="12.75" customHeight="1">
      <c r="B631" s="536"/>
      <c r="C631" s="929"/>
      <c r="D631" s="640"/>
      <c r="E631" s="2391"/>
      <c r="F631" s="2391"/>
      <c r="G631" s="2391"/>
      <c r="H631" s="2391"/>
      <c r="I631" s="2391"/>
      <c r="J631" s="2391"/>
      <c r="K631" s="2391"/>
      <c r="L631" s="2391"/>
      <c r="M631" s="2391"/>
      <c r="N631" s="2391"/>
      <c r="O631" s="2391"/>
      <c r="P631" s="2391"/>
      <c r="Q631" s="2391"/>
      <c r="R631" s="2391"/>
      <c r="S631" s="2391"/>
      <c r="T631" s="2391"/>
      <c r="U631" s="2391"/>
      <c r="V631" s="2391"/>
      <c r="W631" s="2391"/>
      <c r="X631" s="2391"/>
      <c r="Y631" s="2391"/>
      <c r="Z631" s="2391"/>
      <c r="AA631" s="2391"/>
      <c r="AB631" s="2391"/>
      <c r="AC631" s="2391"/>
      <c r="AD631" s="2391"/>
      <c r="AE631" s="2391"/>
      <c r="AF631" s="2391"/>
      <c r="AG631" s="2391"/>
      <c r="AH631" s="640"/>
      <c r="AI631" s="640"/>
      <c r="AJ631" s="640"/>
      <c r="AK631" s="640"/>
      <c r="AL631" s="640"/>
      <c r="AN631" s="595"/>
    </row>
    <row r="632" spans="1:42" s="549" customFormat="1" ht="12.75" customHeight="1">
      <c r="B632" s="536"/>
      <c r="C632" s="929"/>
      <c r="D632" s="640"/>
      <c r="E632" s="2391"/>
      <c r="F632" s="2391"/>
      <c r="G632" s="2391"/>
      <c r="H632" s="2391"/>
      <c r="I632" s="2391"/>
      <c r="J632" s="2391"/>
      <c r="K632" s="2391"/>
      <c r="L632" s="2391"/>
      <c r="M632" s="2391"/>
      <c r="N632" s="2391"/>
      <c r="O632" s="2391"/>
      <c r="P632" s="2391"/>
      <c r="Q632" s="2391"/>
      <c r="R632" s="2391"/>
      <c r="S632" s="2391"/>
      <c r="T632" s="2391"/>
      <c r="U632" s="2391"/>
      <c r="V632" s="2391"/>
      <c r="W632" s="2391"/>
      <c r="X632" s="2391"/>
      <c r="Y632" s="2391"/>
      <c r="Z632" s="2391"/>
      <c r="AA632" s="2391"/>
      <c r="AB632" s="2391"/>
      <c r="AC632" s="2391"/>
      <c r="AD632" s="2391"/>
      <c r="AE632" s="2391"/>
      <c r="AF632" s="2391"/>
      <c r="AG632" s="2391"/>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4">
        <f>VLOOKUP($H$619,$AO$599:$AP$604,2,FALSE)+IF(R619=AO607,0,VLOOKUP($I$627,$AO$626:$AP$628,2,FALSE))</f>
        <v>4</v>
      </c>
      <c r="AK634" s="239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5" t="s">
        <v>1683</v>
      </c>
      <c r="F638" s="2535"/>
      <c r="G638" s="2535"/>
      <c r="H638" s="2535"/>
      <c r="I638" s="2535"/>
      <c r="J638" s="2535"/>
      <c r="K638" s="2535"/>
      <c r="L638" s="2535"/>
      <c r="M638" s="2535"/>
      <c r="N638" s="2535"/>
      <c r="O638" s="2535"/>
      <c r="P638" s="2535"/>
      <c r="Q638" s="2535"/>
      <c r="R638" s="2535"/>
      <c r="S638" s="2535"/>
      <c r="T638" s="2535"/>
      <c r="U638" s="2535"/>
      <c r="V638" s="2535"/>
      <c r="W638" s="2535"/>
      <c r="X638" s="2535"/>
      <c r="Y638" s="2535"/>
      <c r="Z638" s="2535"/>
      <c r="AA638" s="2535"/>
      <c r="AB638" s="2535"/>
      <c r="AC638" s="2535"/>
      <c r="AD638" s="2535"/>
      <c r="AE638" s="539"/>
      <c r="AF638" s="2392" t="s">
        <v>1346</v>
      </c>
      <c r="AG638" s="2392"/>
      <c r="AH638" s="2392"/>
      <c r="AI638" s="2392"/>
      <c r="AJ638" s="2392"/>
      <c r="AK638" s="2392"/>
      <c r="AL638" s="2392"/>
      <c r="AM638" s="549"/>
      <c r="AN638" s="674"/>
    </row>
    <row r="639" spans="1:42" s="549" customFormat="1" ht="12.75" customHeight="1">
      <c r="A639" s="675"/>
      <c r="B639" s="536"/>
      <c r="C639" s="929"/>
      <c r="D639" s="659"/>
      <c r="E639" s="2535"/>
      <c r="F639" s="2535"/>
      <c r="G639" s="2535"/>
      <c r="H639" s="2535"/>
      <c r="I639" s="2535"/>
      <c r="J639" s="2535"/>
      <c r="K639" s="2535"/>
      <c r="L639" s="2535"/>
      <c r="M639" s="2535"/>
      <c r="N639" s="2535"/>
      <c r="O639" s="2535"/>
      <c r="P639" s="2535"/>
      <c r="Q639" s="2535"/>
      <c r="R639" s="2535"/>
      <c r="S639" s="2535"/>
      <c r="T639" s="2535"/>
      <c r="U639" s="2535"/>
      <c r="V639" s="2535"/>
      <c r="W639" s="2535"/>
      <c r="X639" s="2535"/>
      <c r="Y639" s="2535"/>
      <c r="Z639" s="2535"/>
      <c r="AA639" s="2535"/>
      <c r="AB639" s="2535"/>
      <c r="AC639" s="2535"/>
      <c r="AD639" s="2535"/>
      <c r="AE639" s="536"/>
      <c r="AF639" s="536"/>
      <c r="AG639" s="536"/>
      <c r="AH639" s="536"/>
      <c r="AI639" s="536"/>
      <c r="AJ639" s="536"/>
      <c r="AK639" s="536"/>
      <c r="AL639" s="536"/>
      <c r="AN639" s="595"/>
    </row>
    <row r="640" spans="1:42" s="549" customFormat="1" ht="12.75" customHeight="1">
      <c r="B640" s="536"/>
      <c r="C640" s="927"/>
      <c r="D640" s="659"/>
      <c r="E640" s="2535"/>
      <c r="F640" s="2535"/>
      <c r="G640" s="2535"/>
      <c r="H640" s="2535"/>
      <c r="I640" s="2535"/>
      <c r="J640" s="2535"/>
      <c r="K640" s="2535"/>
      <c r="L640" s="2535"/>
      <c r="M640" s="2535"/>
      <c r="N640" s="2535"/>
      <c r="O640" s="2535"/>
      <c r="P640" s="2535"/>
      <c r="Q640" s="2535"/>
      <c r="R640" s="2535"/>
      <c r="S640" s="2535"/>
      <c r="T640" s="2535"/>
      <c r="U640" s="2535"/>
      <c r="V640" s="2535"/>
      <c r="W640" s="2535"/>
      <c r="X640" s="2535"/>
      <c r="Y640" s="2535"/>
      <c r="Z640" s="2535"/>
      <c r="AA640" s="2535"/>
      <c r="AB640" s="2535"/>
      <c r="AC640" s="2535"/>
      <c r="AD640" s="2535"/>
      <c r="AE640" s="536"/>
      <c r="AF640" s="536"/>
      <c r="AG640" s="536"/>
      <c r="AH640" s="536"/>
      <c r="AI640" s="536"/>
      <c r="AJ640" s="536"/>
      <c r="AK640" s="536"/>
      <c r="AL640" s="536"/>
      <c r="AN640" s="595"/>
    </row>
    <row r="641" spans="1:42" s="549" customFormat="1" ht="12.75" customHeight="1">
      <c r="B641" s="536"/>
      <c r="C641" s="927"/>
      <c r="D641" s="659"/>
      <c r="E641" s="2535"/>
      <c r="F641" s="2535"/>
      <c r="G641" s="2535"/>
      <c r="H641" s="2535"/>
      <c r="I641" s="2535"/>
      <c r="J641" s="2535"/>
      <c r="K641" s="2535"/>
      <c r="L641" s="2535"/>
      <c r="M641" s="2535"/>
      <c r="N641" s="2535"/>
      <c r="O641" s="2535"/>
      <c r="P641" s="2535"/>
      <c r="Q641" s="2535"/>
      <c r="R641" s="2535"/>
      <c r="S641" s="2535"/>
      <c r="T641" s="2535"/>
      <c r="U641" s="2535"/>
      <c r="V641" s="2535"/>
      <c r="W641" s="2535"/>
      <c r="X641" s="2535"/>
      <c r="Y641" s="2535"/>
      <c r="Z641" s="2535"/>
      <c r="AA641" s="2535"/>
      <c r="AB641" s="2535"/>
      <c r="AC641" s="2535"/>
      <c r="AD641" s="2535"/>
      <c r="AE641" s="536"/>
      <c r="AF641" s="536"/>
      <c r="AG641" s="536"/>
      <c r="AH641" s="536"/>
      <c r="AI641" s="536"/>
      <c r="AJ641" s="536"/>
      <c r="AK641" s="536"/>
      <c r="AL641" s="536"/>
      <c r="AN641" s="595"/>
    </row>
    <row r="642" spans="1:42" s="549" customFormat="1" ht="12.75" customHeight="1">
      <c r="B642" s="536"/>
      <c r="C642" s="927"/>
      <c r="D642" s="659"/>
      <c r="E642" s="2535"/>
      <c r="F642" s="2535"/>
      <c r="G642" s="2535"/>
      <c r="H642" s="2535"/>
      <c r="I642" s="2535"/>
      <c r="J642" s="2535"/>
      <c r="K642" s="2535"/>
      <c r="L642" s="2535"/>
      <c r="M642" s="2535"/>
      <c r="N642" s="2535"/>
      <c r="O642" s="2535"/>
      <c r="P642" s="2535"/>
      <c r="Q642" s="2535"/>
      <c r="R642" s="2535"/>
      <c r="S642" s="2535"/>
      <c r="T642" s="2535"/>
      <c r="U642" s="2535"/>
      <c r="V642" s="2535"/>
      <c r="W642" s="2535"/>
      <c r="X642" s="2535"/>
      <c r="Y642" s="2535"/>
      <c r="Z642" s="2535"/>
      <c r="AA642" s="2535"/>
      <c r="AB642" s="2535"/>
      <c r="AC642" s="2535"/>
      <c r="AD642" s="2535"/>
      <c r="AE642" s="536"/>
      <c r="AF642" s="536"/>
      <c r="AG642" s="536"/>
      <c r="AH642" s="536"/>
      <c r="AI642" s="536"/>
      <c r="AJ642" s="536"/>
      <c r="AK642" s="536"/>
      <c r="AL642" s="536"/>
      <c r="AN642" s="595"/>
    </row>
    <row r="643" spans="1:42" s="549" customFormat="1" ht="12.75" customHeight="1">
      <c r="B643" s="536"/>
      <c r="C643" s="927"/>
      <c r="D643" s="659"/>
      <c r="E643" s="2535"/>
      <c r="F643" s="2535"/>
      <c r="G643" s="2535"/>
      <c r="H643" s="2535"/>
      <c r="I643" s="2535"/>
      <c r="J643" s="2535"/>
      <c r="K643" s="2535"/>
      <c r="L643" s="2535"/>
      <c r="M643" s="2535"/>
      <c r="N643" s="2535"/>
      <c r="O643" s="2535"/>
      <c r="P643" s="2535"/>
      <c r="Q643" s="2535"/>
      <c r="R643" s="2535"/>
      <c r="S643" s="2535"/>
      <c r="T643" s="2535"/>
      <c r="U643" s="2535"/>
      <c r="V643" s="2535"/>
      <c r="W643" s="2535"/>
      <c r="X643" s="2535"/>
      <c r="Y643" s="2535"/>
      <c r="Z643" s="2535"/>
      <c r="AA643" s="2535"/>
      <c r="AB643" s="2535"/>
      <c r="AC643" s="2535"/>
      <c r="AD643" s="2535"/>
      <c r="AE643" s="536"/>
      <c r="AF643" s="536"/>
      <c r="AG643" s="536"/>
      <c r="AH643" s="536"/>
      <c r="AI643" s="536"/>
      <c r="AJ643" s="536"/>
      <c r="AK643" s="536"/>
      <c r="AL643" s="536"/>
      <c r="AN643" s="595"/>
    </row>
    <row r="644" spans="1:42" s="549" customFormat="1" ht="12.75" customHeight="1">
      <c r="A644" s="635"/>
      <c r="B644" s="614"/>
      <c r="C644" s="936"/>
      <c r="D644" s="659"/>
      <c r="E644" s="2535"/>
      <c r="F644" s="2535"/>
      <c r="G644" s="2535"/>
      <c r="H644" s="2535"/>
      <c r="I644" s="2535"/>
      <c r="J644" s="2535"/>
      <c r="K644" s="2535"/>
      <c r="L644" s="2535"/>
      <c r="M644" s="2535"/>
      <c r="N644" s="2535"/>
      <c r="O644" s="2535"/>
      <c r="P644" s="2535"/>
      <c r="Q644" s="2535"/>
      <c r="R644" s="2535"/>
      <c r="S644" s="2535"/>
      <c r="T644" s="2535"/>
      <c r="U644" s="2535"/>
      <c r="V644" s="2535"/>
      <c r="W644" s="2535"/>
      <c r="X644" s="2535"/>
      <c r="Y644" s="2535"/>
      <c r="Z644" s="2535"/>
      <c r="AA644" s="2535"/>
      <c r="AB644" s="2535"/>
      <c r="AC644" s="2535"/>
      <c r="AD644" s="2535"/>
      <c r="AE644" s="614"/>
      <c r="AF644" s="614"/>
      <c r="AG644" s="614"/>
      <c r="AH644" s="614"/>
      <c r="AI644" s="614"/>
      <c r="AJ644" s="614"/>
      <c r="AK644" s="536"/>
      <c r="AL644" s="536"/>
      <c r="AN644" s="595"/>
    </row>
    <row r="645" spans="1:42" s="549" customFormat="1" ht="12.75" customHeight="1">
      <c r="B645" s="614"/>
      <c r="C645" s="936"/>
      <c r="D645" s="659"/>
      <c r="E645" s="2535"/>
      <c r="F645" s="2535"/>
      <c r="G645" s="2535"/>
      <c r="H645" s="2535"/>
      <c r="I645" s="2535"/>
      <c r="J645" s="2535"/>
      <c r="K645" s="2535"/>
      <c r="L645" s="2535"/>
      <c r="M645" s="2535"/>
      <c r="N645" s="2535"/>
      <c r="O645" s="2535"/>
      <c r="P645" s="2535"/>
      <c r="Q645" s="2535"/>
      <c r="R645" s="2535"/>
      <c r="S645" s="2535"/>
      <c r="T645" s="2535"/>
      <c r="U645" s="2535"/>
      <c r="V645" s="2535"/>
      <c r="W645" s="2535"/>
      <c r="X645" s="2535"/>
      <c r="Y645" s="2535"/>
      <c r="Z645" s="2535"/>
      <c r="AA645" s="2535"/>
      <c r="AB645" s="2535"/>
      <c r="AC645" s="2535"/>
      <c r="AD645" s="253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9" t="s">
        <v>591</v>
      </c>
      <c r="Y647" s="2399"/>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2" t="s">
        <v>1400</v>
      </c>
      <c r="AG649" s="2392"/>
      <c r="AH649" s="2392"/>
      <c r="AI649" s="2392"/>
      <c r="AJ649" s="2392"/>
      <c r="AK649" s="2392"/>
      <c r="AL649" s="239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3" t="s">
        <v>687</v>
      </c>
      <c r="I651" s="239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4">
        <f>VLOOKUP($H$651,$AO$618:$AP$620,2,FALSE)</f>
        <v>3</v>
      </c>
      <c r="AK653" s="2395"/>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91" t="s">
        <v>2052</v>
      </c>
      <c r="F657" s="2391"/>
      <c r="G657" s="2391"/>
      <c r="H657" s="2391"/>
      <c r="I657" s="2391"/>
      <c r="J657" s="2391"/>
      <c r="K657" s="2391"/>
      <c r="L657" s="2391"/>
      <c r="M657" s="2391"/>
      <c r="N657" s="2391"/>
      <c r="O657" s="2391"/>
      <c r="P657" s="2391"/>
      <c r="Q657" s="2391"/>
      <c r="R657" s="2391"/>
      <c r="S657" s="2391"/>
      <c r="T657" s="2391"/>
      <c r="U657" s="2391"/>
      <c r="V657" s="2391"/>
      <c r="W657" s="2391"/>
      <c r="X657" s="2391"/>
      <c r="Y657" s="2391"/>
      <c r="Z657" s="2391"/>
      <c r="AA657" s="2391"/>
      <c r="AB657" s="2391"/>
      <c r="AC657" s="2391"/>
      <c r="AD657" s="2391"/>
      <c r="AE657" s="536"/>
      <c r="AF657" s="2392" t="s">
        <v>1346</v>
      </c>
      <c r="AG657" s="2392"/>
      <c r="AH657" s="2392"/>
      <c r="AI657" s="2392"/>
      <c r="AJ657" s="2392"/>
      <c r="AK657" s="2392"/>
      <c r="AL657" s="2392"/>
      <c r="AN657" s="595"/>
    </row>
    <row r="658" spans="1:42" s="549" customFormat="1" ht="12.75" customHeight="1">
      <c r="B658" s="536"/>
      <c r="C658" s="536"/>
      <c r="D658" s="659"/>
      <c r="E658" s="2391"/>
      <c r="F658" s="2391"/>
      <c r="G658" s="2391"/>
      <c r="H658" s="2391"/>
      <c r="I658" s="2391"/>
      <c r="J658" s="2391"/>
      <c r="K658" s="2391"/>
      <c r="L658" s="2391"/>
      <c r="M658" s="2391"/>
      <c r="N658" s="2391"/>
      <c r="O658" s="2391"/>
      <c r="P658" s="2391"/>
      <c r="Q658" s="2391"/>
      <c r="R658" s="2391"/>
      <c r="S658" s="2391"/>
      <c r="T658" s="2391"/>
      <c r="U658" s="2391"/>
      <c r="V658" s="2391"/>
      <c r="W658" s="2391"/>
      <c r="X658" s="2391"/>
      <c r="Y658" s="2391"/>
      <c r="Z658" s="2391"/>
      <c r="AA658" s="2391"/>
      <c r="AB658" s="2391"/>
      <c r="AC658" s="2391"/>
      <c r="AD658" s="2391"/>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2" t="s">
        <v>1400</v>
      </c>
      <c r="AG660" s="2392"/>
      <c r="AH660" s="2392"/>
      <c r="AI660" s="2392"/>
      <c r="AJ660" s="2392"/>
      <c r="AK660" s="2392"/>
      <c r="AL660" s="2392"/>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3" t="s">
        <v>591</v>
      </c>
      <c r="I663" s="239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4">
        <f>VLOOKUP(H663,AT618:AU620,2,FALSE)</f>
        <v>0</v>
      </c>
      <c r="AK665" s="239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91" t="s">
        <v>1410</v>
      </c>
      <c r="F670" s="2391"/>
      <c r="G670" s="2391"/>
      <c r="H670" s="2391"/>
      <c r="I670" s="2391"/>
      <c r="J670" s="2391"/>
      <c r="K670" s="2391"/>
      <c r="L670" s="2391"/>
      <c r="M670" s="2391"/>
      <c r="N670" s="2391"/>
      <c r="O670" s="2391"/>
      <c r="P670" s="2391"/>
      <c r="Q670" s="2391"/>
      <c r="R670" s="2391"/>
      <c r="S670" s="2391"/>
      <c r="T670" s="2391"/>
      <c r="U670" s="2391"/>
      <c r="V670" s="2391"/>
      <c r="W670" s="2391"/>
      <c r="X670" s="2391"/>
      <c r="Y670" s="2391"/>
      <c r="Z670" s="2391"/>
      <c r="AA670" s="2391"/>
      <c r="AB670" s="2391"/>
      <c r="AC670" s="2391"/>
      <c r="AD670" s="536"/>
      <c r="AE670" s="536"/>
      <c r="AF670" s="2392" t="s">
        <v>1371</v>
      </c>
      <c r="AG670" s="2392"/>
      <c r="AH670" s="2392"/>
      <c r="AI670" s="2392"/>
      <c r="AJ670" s="2392"/>
      <c r="AK670" s="2392"/>
      <c r="AL670" s="2392"/>
      <c r="AN670" s="595"/>
    </row>
    <row r="671" spans="1:42" s="549" customFormat="1" ht="12.75" customHeight="1">
      <c r="B671" s="536"/>
      <c r="C671" s="539"/>
      <c r="D671" s="536"/>
      <c r="E671" s="2391"/>
      <c r="F671" s="2391"/>
      <c r="G671" s="2391"/>
      <c r="H671" s="2391"/>
      <c r="I671" s="2391"/>
      <c r="J671" s="2391"/>
      <c r="K671" s="2391"/>
      <c r="L671" s="2391"/>
      <c r="M671" s="2391"/>
      <c r="N671" s="2391"/>
      <c r="O671" s="2391"/>
      <c r="P671" s="2391"/>
      <c r="Q671" s="2391"/>
      <c r="R671" s="2391"/>
      <c r="S671" s="2391"/>
      <c r="T671" s="2391"/>
      <c r="U671" s="2391"/>
      <c r="V671" s="2391"/>
      <c r="W671" s="2391"/>
      <c r="X671" s="2391"/>
      <c r="Y671" s="2391"/>
      <c r="Z671" s="2391"/>
      <c r="AA671" s="2391"/>
      <c r="AB671" s="2391"/>
      <c r="AC671" s="2391"/>
      <c r="AD671" s="536"/>
      <c r="AE671" s="536"/>
      <c r="AF671" s="536"/>
      <c r="AG671" s="536"/>
      <c r="AH671" s="536"/>
      <c r="AI671" s="536"/>
      <c r="AJ671" s="536"/>
      <c r="AK671" s="536"/>
      <c r="AL671" s="536"/>
      <c r="AN671" s="595"/>
    </row>
    <row r="672" spans="1:42" s="549" customFormat="1" ht="12.75" customHeight="1">
      <c r="B672" s="536"/>
      <c r="C672" s="539"/>
      <c r="D672" s="659"/>
      <c r="E672" s="2391"/>
      <c r="F672" s="2391"/>
      <c r="G672" s="2391"/>
      <c r="H672" s="2391"/>
      <c r="I672" s="2391"/>
      <c r="J672" s="2391"/>
      <c r="K672" s="2391"/>
      <c r="L672" s="2391"/>
      <c r="M672" s="2391"/>
      <c r="N672" s="2391"/>
      <c r="O672" s="2391"/>
      <c r="P672" s="2391"/>
      <c r="Q672" s="2391"/>
      <c r="R672" s="2391"/>
      <c r="S672" s="2391"/>
      <c r="T672" s="2391"/>
      <c r="U672" s="2391"/>
      <c r="V672" s="2391"/>
      <c r="W672" s="2391"/>
      <c r="X672" s="2391"/>
      <c r="Y672" s="2391"/>
      <c r="Z672" s="2391"/>
      <c r="AA672" s="2391"/>
      <c r="AB672" s="2391"/>
      <c r="AC672" s="2391"/>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91" t="s">
        <v>1411</v>
      </c>
      <c r="F674" s="2391"/>
      <c r="G674" s="2391"/>
      <c r="H674" s="2391"/>
      <c r="I674" s="2391"/>
      <c r="J674" s="2391"/>
      <c r="K674" s="2391"/>
      <c r="L674" s="2391"/>
      <c r="M674" s="2391"/>
      <c r="N674" s="2391"/>
      <c r="O674" s="2391"/>
      <c r="P674" s="2391"/>
      <c r="Q674" s="2391"/>
      <c r="R674" s="2391"/>
      <c r="S674" s="2391"/>
      <c r="T674" s="2391"/>
      <c r="U674" s="2391"/>
      <c r="V674" s="2391"/>
      <c r="W674" s="2391"/>
      <c r="X674" s="2391"/>
      <c r="Y674" s="2391"/>
      <c r="Z674" s="2391"/>
      <c r="AA674" s="2391"/>
      <c r="AB674" s="2391"/>
      <c r="AC674" s="2391"/>
      <c r="AD674" s="536"/>
      <c r="AE674" s="536"/>
      <c r="AF674" s="2392" t="s">
        <v>1391</v>
      </c>
      <c r="AG674" s="2392"/>
      <c r="AH674" s="2392"/>
      <c r="AI674" s="2392"/>
      <c r="AJ674" s="2392"/>
      <c r="AK674" s="2392"/>
      <c r="AL674" s="2392"/>
      <c r="AN674" s="595"/>
    </row>
    <row r="675" spans="1:42" s="549" customFormat="1" ht="12.75" customHeight="1">
      <c r="B675" s="536"/>
      <c r="C675" s="539"/>
      <c r="D675" s="536"/>
      <c r="E675" s="2391"/>
      <c r="F675" s="2391"/>
      <c r="G675" s="2391"/>
      <c r="H675" s="2391"/>
      <c r="I675" s="2391"/>
      <c r="J675" s="2391"/>
      <c r="K675" s="2391"/>
      <c r="L675" s="2391"/>
      <c r="M675" s="2391"/>
      <c r="N675" s="2391"/>
      <c r="O675" s="2391"/>
      <c r="P675" s="2391"/>
      <c r="Q675" s="2391"/>
      <c r="R675" s="2391"/>
      <c r="S675" s="2391"/>
      <c r="T675" s="2391"/>
      <c r="U675" s="2391"/>
      <c r="V675" s="2391"/>
      <c r="W675" s="2391"/>
      <c r="X675" s="2391"/>
      <c r="Y675" s="2391"/>
      <c r="Z675" s="2391"/>
      <c r="AA675" s="2391"/>
      <c r="AB675" s="2391"/>
      <c r="AC675" s="2391"/>
      <c r="AD675" s="536"/>
      <c r="AE675" s="536"/>
      <c r="AF675" s="536"/>
      <c r="AG675" s="536"/>
      <c r="AH675" s="536"/>
      <c r="AI675" s="536"/>
      <c r="AJ675" s="536"/>
      <c r="AK675" s="536"/>
      <c r="AL675" s="536"/>
      <c r="AN675" s="595"/>
    </row>
    <row r="676" spans="1:42" s="549" customFormat="1" ht="15" customHeight="1">
      <c r="B676" s="536"/>
      <c r="C676" s="539"/>
      <c r="D676" s="659"/>
      <c r="E676" s="2391"/>
      <c r="F676" s="2391"/>
      <c r="G676" s="2391"/>
      <c r="H676" s="2391"/>
      <c r="I676" s="2391"/>
      <c r="J676" s="2391"/>
      <c r="K676" s="2391"/>
      <c r="L676" s="2391"/>
      <c r="M676" s="2391"/>
      <c r="N676" s="2391"/>
      <c r="O676" s="2391"/>
      <c r="P676" s="2391"/>
      <c r="Q676" s="2391"/>
      <c r="R676" s="2391"/>
      <c r="S676" s="2391"/>
      <c r="T676" s="2391"/>
      <c r="U676" s="2391"/>
      <c r="V676" s="2391"/>
      <c r="W676" s="2391"/>
      <c r="X676" s="2391"/>
      <c r="Y676" s="2391"/>
      <c r="Z676" s="2391"/>
      <c r="AA676" s="2391"/>
      <c r="AB676" s="2391"/>
      <c r="AC676" s="2391"/>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1" t="s">
        <v>1412</v>
      </c>
      <c r="F678" s="2391"/>
      <c r="G678" s="2391"/>
      <c r="H678" s="2391"/>
      <c r="I678" s="2391"/>
      <c r="J678" s="2391"/>
      <c r="K678" s="2391"/>
      <c r="L678" s="2391"/>
      <c r="M678" s="2391"/>
      <c r="N678" s="2391"/>
      <c r="O678" s="2391"/>
      <c r="P678" s="2391"/>
      <c r="Q678" s="2391"/>
      <c r="R678" s="2391"/>
      <c r="S678" s="2391"/>
      <c r="T678" s="2391"/>
      <c r="U678" s="2391"/>
      <c r="V678" s="2391"/>
      <c r="W678" s="2391"/>
      <c r="X678" s="2391"/>
      <c r="Y678" s="2391"/>
      <c r="Z678" s="2391"/>
      <c r="AA678" s="2391"/>
      <c r="AB678" s="2391"/>
      <c r="AC678" s="2391"/>
      <c r="AD678" s="536"/>
      <c r="AE678" s="536"/>
      <c r="AF678" s="2392" t="s">
        <v>1346</v>
      </c>
      <c r="AG678" s="2392"/>
      <c r="AH678" s="2392"/>
      <c r="AI678" s="2392"/>
      <c r="AJ678" s="2392"/>
      <c r="AK678" s="2392"/>
      <c r="AL678" s="2392"/>
      <c r="AN678" s="595"/>
    </row>
    <row r="679" spans="1:42" s="549" customFormat="1" ht="12.75" customHeight="1">
      <c r="B679" s="536"/>
      <c r="C679" s="927"/>
      <c r="D679" s="536"/>
      <c r="E679" s="2391"/>
      <c r="F679" s="2391"/>
      <c r="G679" s="2391"/>
      <c r="H679" s="2391"/>
      <c r="I679" s="2391"/>
      <c r="J679" s="2391"/>
      <c r="K679" s="2391"/>
      <c r="L679" s="2391"/>
      <c r="M679" s="2391"/>
      <c r="N679" s="2391"/>
      <c r="O679" s="2391"/>
      <c r="P679" s="2391"/>
      <c r="Q679" s="2391"/>
      <c r="R679" s="2391"/>
      <c r="S679" s="2391"/>
      <c r="T679" s="2391"/>
      <c r="U679" s="2391"/>
      <c r="V679" s="2391"/>
      <c r="W679" s="2391"/>
      <c r="X679" s="2391"/>
      <c r="Y679" s="2391"/>
      <c r="Z679" s="2391"/>
      <c r="AA679" s="2391"/>
      <c r="AB679" s="2391"/>
      <c r="AC679" s="2391"/>
      <c r="AD679" s="536"/>
      <c r="AE679" s="2392"/>
      <c r="AF679" s="2392"/>
      <c r="AG679" s="2392"/>
      <c r="AH679" s="2392"/>
      <c r="AI679" s="2392"/>
      <c r="AJ679" s="2392"/>
      <c r="AK679" s="2392"/>
      <c r="AL679" s="592"/>
      <c r="AN679" s="595"/>
      <c r="AO679" s="549" t="s">
        <v>591</v>
      </c>
      <c r="AP679" s="669">
        <v>0</v>
      </c>
    </row>
    <row r="680" spans="1:42" s="549" customFormat="1" ht="12.75" customHeight="1">
      <c r="A680" s="675"/>
      <c r="B680" s="536"/>
      <c r="C680" s="536"/>
      <c r="D680" s="659"/>
      <c r="E680" s="2391"/>
      <c r="F680" s="2391"/>
      <c r="G680" s="2391"/>
      <c r="H680" s="2391"/>
      <c r="I680" s="2391"/>
      <c r="J680" s="2391"/>
      <c r="K680" s="2391"/>
      <c r="L680" s="2391"/>
      <c r="M680" s="2391"/>
      <c r="N680" s="2391"/>
      <c r="O680" s="2391"/>
      <c r="P680" s="2391"/>
      <c r="Q680" s="2391"/>
      <c r="R680" s="2391"/>
      <c r="S680" s="2391"/>
      <c r="T680" s="2391"/>
      <c r="U680" s="2391"/>
      <c r="V680" s="2391"/>
      <c r="W680" s="2391"/>
      <c r="X680" s="2391"/>
      <c r="Y680" s="2391"/>
      <c r="Z680" s="2391"/>
      <c r="AA680" s="2391"/>
      <c r="AB680" s="2391"/>
      <c r="AC680" s="2391"/>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91" t="s">
        <v>1413</v>
      </c>
      <c r="F682" s="2391"/>
      <c r="G682" s="2391"/>
      <c r="H682" s="2391"/>
      <c r="I682" s="2391"/>
      <c r="J682" s="2391"/>
      <c r="K682" s="2391"/>
      <c r="L682" s="2391"/>
      <c r="M682" s="2391"/>
      <c r="N682" s="2391"/>
      <c r="O682" s="2391"/>
      <c r="P682" s="2391"/>
      <c r="Q682" s="2391"/>
      <c r="R682" s="2391"/>
      <c r="S682" s="2391"/>
      <c r="T682" s="2391"/>
      <c r="U682" s="2391"/>
      <c r="V682" s="2391"/>
      <c r="W682" s="2391"/>
      <c r="X682" s="2391"/>
      <c r="Y682" s="2391"/>
      <c r="Z682" s="2391"/>
      <c r="AA682" s="2391"/>
      <c r="AB682" s="2391"/>
      <c r="AC682" s="2391"/>
      <c r="AD682" s="536"/>
      <c r="AE682" s="536"/>
      <c r="AF682" s="2392" t="s">
        <v>1391</v>
      </c>
      <c r="AG682" s="2392"/>
      <c r="AH682" s="2392"/>
      <c r="AI682" s="2392"/>
      <c r="AJ682" s="2392"/>
      <c r="AK682" s="2392"/>
      <c r="AL682" s="2392"/>
      <c r="AN682" s="595"/>
    </row>
    <row r="683" spans="1:42" s="549" customFormat="1" ht="12.75" customHeight="1">
      <c r="A683" s="666"/>
      <c r="B683" s="536"/>
      <c r="C683" s="943"/>
      <c r="D683" s="659"/>
      <c r="E683" s="2391"/>
      <c r="F683" s="2391"/>
      <c r="G683" s="2391"/>
      <c r="H683" s="2391"/>
      <c r="I683" s="2391"/>
      <c r="J683" s="2391"/>
      <c r="K683" s="2391"/>
      <c r="L683" s="2391"/>
      <c r="M683" s="2391"/>
      <c r="N683" s="2391"/>
      <c r="O683" s="2391"/>
      <c r="P683" s="2391"/>
      <c r="Q683" s="2391"/>
      <c r="R683" s="2391"/>
      <c r="S683" s="2391"/>
      <c r="T683" s="2391"/>
      <c r="U683" s="2391"/>
      <c r="V683" s="2391"/>
      <c r="W683" s="2391"/>
      <c r="X683" s="2391"/>
      <c r="Y683" s="2391"/>
      <c r="Z683" s="2391"/>
      <c r="AA683" s="2391"/>
      <c r="AB683" s="2391"/>
      <c r="AC683" s="2391"/>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1"/>
      <c r="F684" s="2391"/>
      <c r="G684" s="2391"/>
      <c r="H684" s="2391"/>
      <c r="I684" s="2391"/>
      <c r="J684" s="2391"/>
      <c r="K684" s="2391"/>
      <c r="L684" s="2391"/>
      <c r="M684" s="2391"/>
      <c r="N684" s="2391"/>
      <c r="O684" s="2391"/>
      <c r="P684" s="2391"/>
      <c r="Q684" s="2391"/>
      <c r="R684" s="2391"/>
      <c r="S684" s="2391"/>
      <c r="T684" s="2391"/>
      <c r="U684" s="2391"/>
      <c r="V684" s="2391"/>
      <c r="W684" s="2391"/>
      <c r="X684" s="2391"/>
      <c r="Y684" s="2391"/>
      <c r="Z684" s="2391"/>
      <c r="AA684" s="2391"/>
      <c r="AB684" s="2391"/>
      <c r="AC684" s="2391"/>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91" t="s">
        <v>1414</v>
      </c>
      <c r="F686" s="2391"/>
      <c r="G686" s="2391"/>
      <c r="H686" s="2391"/>
      <c r="I686" s="2391"/>
      <c r="J686" s="2391"/>
      <c r="K686" s="2391"/>
      <c r="L686" s="2391"/>
      <c r="M686" s="2391"/>
      <c r="N686" s="2391"/>
      <c r="O686" s="2391"/>
      <c r="P686" s="2391"/>
      <c r="Q686" s="2391"/>
      <c r="R686" s="2391"/>
      <c r="S686" s="2391"/>
      <c r="T686" s="2391"/>
      <c r="U686" s="2391"/>
      <c r="V686" s="2391"/>
      <c r="W686" s="2391"/>
      <c r="X686" s="2391"/>
      <c r="Y686" s="2391"/>
      <c r="Z686" s="2391"/>
      <c r="AA686" s="2391"/>
      <c r="AB686" s="2391"/>
      <c r="AC686" s="2391"/>
      <c r="AD686" s="536"/>
      <c r="AE686" s="536"/>
      <c r="AF686" s="2392" t="s">
        <v>1346</v>
      </c>
      <c r="AG686" s="2392"/>
      <c r="AH686" s="2392"/>
      <c r="AI686" s="2392"/>
      <c r="AJ686" s="2392"/>
      <c r="AK686" s="2392"/>
      <c r="AL686" s="2392"/>
      <c r="AM686" s="594"/>
      <c r="AN686" s="595"/>
    </row>
    <row r="687" spans="1:42" s="549" customFormat="1" ht="12.75" customHeight="1">
      <c r="B687" s="536"/>
      <c r="C687" s="927"/>
      <c r="D687" s="659"/>
      <c r="E687" s="2391"/>
      <c r="F687" s="2391"/>
      <c r="G687" s="2391"/>
      <c r="H687" s="2391"/>
      <c r="I687" s="2391"/>
      <c r="J687" s="2391"/>
      <c r="K687" s="2391"/>
      <c r="L687" s="2391"/>
      <c r="M687" s="2391"/>
      <c r="N687" s="2391"/>
      <c r="O687" s="2391"/>
      <c r="P687" s="2391"/>
      <c r="Q687" s="2391"/>
      <c r="R687" s="2391"/>
      <c r="S687" s="2391"/>
      <c r="T687" s="2391"/>
      <c r="U687" s="2391"/>
      <c r="V687" s="2391"/>
      <c r="W687" s="2391"/>
      <c r="X687" s="2391"/>
      <c r="Y687" s="2391"/>
      <c r="Z687" s="2391"/>
      <c r="AA687" s="2391"/>
      <c r="AB687" s="2391"/>
      <c r="AC687" s="2391"/>
      <c r="AD687" s="536"/>
      <c r="AE687" s="536"/>
      <c r="AF687" s="536"/>
      <c r="AG687" s="536"/>
      <c r="AH687" s="536"/>
      <c r="AI687" s="536"/>
      <c r="AJ687" s="536"/>
      <c r="AK687" s="536"/>
      <c r="AL687" s="536"/>
      <c r="AM687" s="594"/>
      <c r="AN687" s="595"/>
    </row>
    <row r="688" spans="1:42" s="549" customFormat="1" ht="12.75" customHeight="1">
      <c r="B688" s="536"/>
      <c r="C688" s="927"/>
      <c r="D688" s="659"/>
      <c r="E688" s="2391"/>
      <c r="F688" s="2391"/>
      <c r="G688" s="2391"/>
      <c r="H688" s="2391"/>
      <c r="I688" s="2391"/>
      <c r="J688" s="2391"/>
      <c r="K688" s="2391"/>
      <c r="L688" s="2391"/>
      <c r="M688" s="2391"/>
      <c r="N688" s="2391"/>
      <c r="O688" s="2391"/>
      <c r="P688" s="2391"/>
      <c r="Q688" s="2391"/>
      <c r="R688" s="2391"/>
      <c r="S688" s="2391"/>
      <c r="T688" s="2391"/>
      <c r="U688" s="2391"/>
      <c r="V688" s="2391"/>
      <c r="W688" s="2391"/>
      <c r="X688" s="2391"/>
      <c r="Y688" s="2391"/>
      <c r="Z688" s="2391"/>
      <c r="AA688" s="2391"/>
      <c r="AB688" s="2391"/>
      <c r="AC688" s="2391"/>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91" t="s">
        <v>1415</v>
      </c>
      <c r="F690" s="2391"/>
      <c r="G690" s="2391"/>
      <c r="H690" s="2391"/>
      <c r="I690" s="2391"/>
      <c r="J690" s="2391"/>
      <c r="K690" s="2391"/>
      <c r="L690" s="2391"/>
      <c r="M690" s="2391"/>
      <c r="N690" s="2391"/>
      <c r="O690" s="2391"/>
      <c r="P690" s="2391"/>
      <c r="Q690" s="2391"/>
      <c r="R690" s="2391"/>
      <c r="S690" s="2391"/>
      <c r="T690" s="2391"/>
      <c r="U690" s="2391"/>
      <c r="V690" s="2391"/>
      <c r="W690" s="2391"/>
      <c r="X690" s="2391"/>
      <c r="Y690" s="2391"/>
      <c r="Z690" s="2391"/>
      <c r="AA690" s="2391"/>
      <c r="AB690" s="2391"/>
      <c r="AC690" s="2391"/>
      <c r="AD690" s="536"/>
      <c r="AE690" s="536"/>
      <c r="AF690" s="2392" t="s">
        <v>1400</v>
      </c>
      <c r="AG690" s="2392"/>
      <c r="AH690" s="2392"/>
      <c r="AI690" s="2392"/>
      <c r="AJ690" s="2392"/>
      <c r="AK690" s="2392"/>
      <c r="AL690" s="2392"/>
      <c r="AM690" s="594"/>
      <c r="AN690" s="595"/>
    </row>
    <row r="691" spans="1:50" s="549" customFormat="1" ht="12.75" customHeight="1">
      <c r="A691" s="675"/>
      <c r="B691" s="536"/>
      <c r="C691" s="927"/>
      <c r="D691" s="659"/>
      <c r="E691" s="2391"/>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2391"/>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2391"/>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91" t="s">
        <v>1416</v>
      </c>
      <c r="F694" s="2391"/>
      <c r="G694" s="2391"/>
      <c r="H694" s="2391"/>
      <c r="I694" s="2391"/>
      <c r="J694" s="2391"/>
      <c r="K694" s="2391"/>
      <c r="L694" s="2391"/>
      <c r="M694" s="2391"/>
      <c r="N694" s="2391"/>
      <c r="O694" s="2391"/>
      <c r="P694" s="2391"/>
      <c r="Q694" s="2391"/>
      <c r="R694" s="2391"/>
      <c r="S694" s="2391"/>
      <c r="T694" s="2391"/>
      <c r="U694" s="2391"/>
      <c r="V694" s="2391"/>
      <c r="W694" s="2391"/>
      <c r="X694" s="2391"/>
      <c r="Y694" s="2391"/>
      <c r="Z694" s="2391"/>
      <c r="AA694" s="2391"/>
      <c r="AB694" s="2391"/>
      <c r="AC694" s="2391"/>
      <c r="AD694" s="536"/>
      <c r="AE694" s="536"/>
      <c r="AF694" s="2392" t="s">
        <v>1417</v>
      </c>
      <c r="AG694" s="2392"/>
      <c r="AH694" s="2392"/>
      <c r="AI694" s="2392"/>
      <c r="AJ694" s="2392"/>
      <c r="AK694" s="2392"/>
      <c r="AL694" s="2392"/>
      <c r="AM694" s="594"/>
      <c r="AN694" s="595"/>
      <c r="AO694" s="609" t="s">
        <v>687</v>
      </c>
      <c r="AP694" s="549">
        <v>3</v>
      </c>
    </row>
    <row r="695" spans="1:50" s="549" customFormat="1" ht="12.75" customHeight="1">
      <c r="A695" s="675"/>
      <c r="B695" s="536"/>
      <c r="C695" s="927"/>
      <c r="D695" s="659"/>
      <c r="E695" s="2391"/>
      <c r="F695" s="2391"/>
      <c r="G695" s="2391"/>
      <c r="H695" s="2391"/>
      <c r="I695" s="2391"/>
      <c r="J695" s="2391"/>
      <c r="K695" s="2391"/>
      <c r="L695" s="2391"/>
      <c r="M695" s="2391"/>
      <c r="N695" s="2391"/>
      <c r="O695" s="2391"/>
      <c r="P695" s="2391"/>
      <c r="Q695" s="2391"/>
      <c r="R695" s="2391"/>
      <c r="S695" s="2391"/>
      <c r="T695" s="2391"/>
      <c r="U695" s="2391"/>
      <c r="V695" s="2391"/>
      <c r="W695" s="2391"/>
      <c r="X695" s="2391"/>
      <c r="Y695" s="2391"/>
      <c r="Z695" s="2391"/>
      <c r="AA695" s="2391"/>
      <c r="AB695" s="2391"/>
      <c r="AC695" s="2391"/>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91"/>
      <c r="F696" s="2391"/>
      <c r="G696" s="2391"/>
      <c r="H696" s="2391"/>
      <c r="I696" s="2391"/>
      <c r="J696" s="2391"/>
      <c r="K696" s="2391"/>
      <c r="L696" s="2391"/>
      <c r="M696" s="2391"/>
      <c r="N696" s="2391"/>
      <c r="O696" s="2391"/>
      <c r="P696" s="2391"/>
      <c r="Q696" s="2391"/>
      <c r="R696" s="2391"/>
      <c r="S696" s="2391"/>
      <c r="T696" s="2391"/>
      <c r="U696" s="2391"/>
      <c r="V696" s="2391"/>
      <c r="W696" s="2391"/>
      <c r="X696" s="2391"/>
      <c r="Y696" s="2391"/>
      <c r="Z696" s="2391"/>
      <c r="AA696" s="2391"/>
      <c r="AB696" s="2391"/>
      <c r="AC696" s="2391"/>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3" t="s">
        <v>509</v>
      </c>
      <c r="I698" s="239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4">
        <f>VLOOKUP($H$698,$AO$646:$AP$653,2,FALSE)</f>
        <v>4</v>
      </c>
      <c r="AK700" s="239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220</v>
      </c>
    </row>
    <row r="704" spans="1:50" s="549" customFormat="1" ht="12.75" customHeight="1">
      <c r="A704" s="675"/>
      <c r="B704" s="536"/>
      <c r="C704" s="944"/>
      <c r="D704" s="659" t="s">
        <v>687</v>
      </c>
      <c r="E704" s="2397" t="s">
        <v>2143</v>
      </c>
      <c r="F704" s="2397"/>
      <c r="G704" s="2397"/>
      <c r="H704" s="2397"/>
      <c r="I704" s="2397"/>
      <c r="J704" s="2397"/>
      <c r="K704" s="2397"/>
      <c r="L704" s="2397"/>
      <c r="M704" s="2397"/>
      <c r="N704" s="2397"/>
      <c r="O704" s="2397"/>
      <c r="P704" s="2397"/>
      <c r="Q704" s="2397"/>
      <c r="R704" s="2397"/>
      <c r="S704" s="2397"/>
      <c r="T704" s="2397"/>
      <c r="U704" s="2397"/>
      <c r="V704" s="2397"/>
      <c r="W704" s="2397"/>
      <c r="X704" s="2397"/>
      <c r="Y704" s="2397"/>
      <c r="Z704" s="2397"/>
      <c r="AA704" s="2397"/>
      <c r="AB704" s="2397"/>
      <c r="AC704" s="536"/>
      <c r="AD704" s="536"/>
      <c r="AE704" s="536"/>
      <c r="AF704" s="2392" t="s">
        <v>1346</v>
      </c>
      <c r="AG704" s="2392"/>
      <c r="AH704" s="2392"/>
      <c r="AI704" s="2392"/>
      <c r="AJ704" s="2392"/>
      <c r="AK704" s="2392"/>
      <c r="AL704" s="2392"/>
      <c r="AN704" s="595"/>
      <c r="AW704" s="22" t="s">
        <v>2138</v>
      </c>
      <c r="AX704" s="549">
        <f>Application!DE761</f>
        <v>0</v>
      </c>
    </row>
    <row r="705" spans="1:51" s="549" customFormat="1" ht="12.75" customHeight="1">
      <c r="A705" s="675"/>
      <c r="B705" s="536"/>
      <c r="C705" s="944"/>
      <c r="D705" s="659"/>
      <c r="E705" s="2397"/>
      <c r="F705" s="2397"/>
      <c r="G705" s="2397"/>
      <c r="H705" s="2397"/>
      <c r="I705" s="2397"/>
      <c r="J705" s="2397"/>
      <c r="K705" s="2397"/>
      <c r="L705" s="2397"/>
      <c r="M705" s="2397"/>
      <c r="N705" s="2397"/>
      <c r="O705" s="2397"/>
      <c r="P705" s="2397"/>
      <c r="Q705" s="2397"/>
      <c r="R705" s="2397"/>
      <c r="S705" s="2397"/>
      <c r="T705" s="2397"/>
      <c r="U705" s="2397"/>
      <c r="V705" s="2397"/>
      <c r="W705" s="2397"/>
      <c r="X705" s="2397"/>
      <c r="Y705" s="2397"/>
      <c r="Z705" s="2397"/>
      <c r="AA705" s="2397"/>
      <c r="AB705" s="2397"/>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91" t="s">
        <v>2088</v>
      </c>
      <c r="F707" s="2391"/>
      <c r="G707" s="2391"/>
      <c r="H707" s="2391"/>
      <c r="I707" s="2391"/>
      <c r="J707" s="2391"/>
      <c r="K707" s="2391"/>
      <c r="L707" s="2391"/>
      <c r="M707" s="2391"/>
      <c r="N707" s="2391"/>
      <c r="O707" s="2391"/>
      <c r="P707" s="2391"/>
      <c r="Q707" s="2391"/>
      <c r="R707" s="2391"/>
      <c r="S707" s="2391"/>
      <c r="T707" s="2391"/>
      <c r="U707" s="2391"/>
      <c r="V707" s="2391"/>
      <c r="W707" s="2391"/>
      <c r="X707" s="2391"/>
      <c r="Y707" s="2391"/>
      <c r="Z707" s="2391"/>
      <c r="AA707" s="2391"/>
      <c r="AB707" s="2391"/>
      <c r="AC707" s="536"/>
      <c r="AD707" s="536"/>
      <c r="AE707" s="536"/>
      <c r="AF707" s="2392" t="s">
        <v>1346</v>
      </c>
      <c r="AG707" s="2392"/>
      <c r="AH707" s="2392"/>
      <c r="AI707" s="2392"/>
      <c r="AJ707" s="2392"/>
      <c r="AK707" s="2392"/>
      <c r="AL707" s="2392"/>
      <c r="AN707" s="595"/>
      <c r="AW707" s="22" t="s">
        <v>2141</v>
      </c>
      <c r="AX707" s="549">
        <f>AX704+AX705+AX706</f>
        <v>0</v>
      </c>
    </row>
    <row r="708" spans="1:51" s="549" customFormat="1" ht="12.75" customHeight="1">
      <c r="B708" s="536"/>
      <c r="C708" s="936"/>
      <c r="D708" s="659"/>
      <c r="E708" s="2391"/>
      <c r="F708" s="2391"/>
      <c r="G708" s="2391"/>
      <c r="H708" s="2391"/>
      <c r="I708" s="2391"/>
      <c r="J708" s="2391"/>
      <c r="K708" s="2391"/>
      <c r="L708" s="2391"/>
      <c r="M708" s="2391"/>
      <c r="N708" s="2391"/>
      <c r="O708" s="2391"/>
      <c r="P708" s="2391"/>
      <c r="Q708" s="2391"/>
      <c r="R708" s="2391"/>
      <c r="S708" s="2391"/>
      <c r="T708" s="2391"/>
      <c r="U708" s="2391"/>
      <c r="V708" s="2391"/>
      <c r="W708" s="2391"/>
      <c r="X708" s="2391"/>
      <c r="Y708" s="2391"/>
      <c r="Z708" s="2391"/>
      <c r="AA708" s="2391"/>
      <c r="AB708" s="2391"/>
      <c r="AC708" s="536"/>
      <c r="AD708" s="536"/>
      <c r="AE708" s="614"/>
      <c r="AF708" s="536"/>
      <c r="AG708" s="536"/>
      <c r="AH708" s="536"/>
      <c r="AI708" s="536"/>
      <c r="AJ708" s="536"/>
      <c r="AK708" s="536"/>
      <c r="AL708" s="536"/>
      <c r="AN708" s="595"/>
      <c r="AO708" s="2461" t="b">
        <f>IF(Application!D211="Special Needs",IF(AY708&gt;=0.25,TRUE,FALSE),IF(AX708&gt;=0.25,TRUE,FALSE))</f>
        <v>0</v>
      </c>
      <c r="AP708" s="2461"/>
      <c r="AW708" s="22" t="s">
        <v>2142</v>
      </c>
      <c r="AX708" s="549">
        <f>IFERROR(AX707/AX703,0)</f>
        <v>0</v>
      </c>
      <c r="AY708" s="549">
        <f>IFERROR(AX707/(AX703-AX702),0)</f>
        <v>0</v>
      </c>
    </row>
    <row r="709" spans="1:51" s="549" customFormat="1" ht="12.75" customHeight="1">
      <c r="B709" s="536"/>
      <c r="C709" s="936"/>
      <c r="E709" s="2391"/>
      <c r="F709" s="2391"/>
      <c r="G709" s="2391"/>
      <c r="H709" s="2391"/>
      <c r="I709" s="2391"/>
      <c r="J709" s="2391"/>
      <c r="K709" s="2391"/>
      <c r="L709" s="2391"/>
      <c r="M709" s="2391"/>
      <c r="N709" s="2391"/>
      <c r="O709" s="2391"/>
      <c r="P709" s="2391"/>
      <c r="Q709" s="2391"/>
      <c r="R709" s="2391"/>
      <c r="S709" s="2391"/>
      <c r="T709" s="2391"/>
      <c r="U709" s="2391"/>
      <c r="V709" s="2391"/>
      <c r="W709" s="2391"/>
      <c r="X709" s="2391"/>
      <c r="Y709" s="2391"/>
      <c r="Z709" s="2391"/>
      <c r="AA709" s="2391"/>
      <c r="AB709" s="2391"/>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1"/>
      <c r="F710" s="2391"/>
      <c r="G710" s="2391"/>
      <c r="H710" s="2391"/>
      <c r="I710" s="2391"/>
      <c r="J710" s="2391"/>
      <c r="K710" s="2391"/>
      <c r="L710" s="2391"/>
      <c r="M710" s="2391"/>
      <c r="N710" s="2391"/>
      <c r="O710" s="2391"/>
      <c r="P710" s="2391"/>
      <c r="Q710" s="2391"/>
      <c r="R710" s="2391"/>
      <c r="S710" s="2391"/>
      <c r="T710" s="2391"/>
      <c r="U710" s="2391"/>
      <c r="V710" s="2391"/>
      <c r="W710" s="2391"/>
      <c r="X710" s="2391"/>
      <c r="Y710" s="2391"/>
      <c r="Z710" s="2391"/>
      <c r="AA710" s="2391"/>
      <c r="AB710" s="2391"/>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91" t="s">
        <v>2089</v>
      </c>
      <c r="F712" s="2391"/>
      <c r="G712" s="2391"/>
      <c r="H712" s="2391"/>
      <c r="I712" s="2391"/>
      <c r="J712" s="2391"/>
      <c r="K712" s="2391"/>
      <c r="L712" s="2391"/>
      <c r="M712" s="2391"/>
      <c r="N712" s="2391"/>
      <c r="O712" s="2391"/>
      <c r="P712" s="2391"/>
      <c r="Q712" s="2391"/>
      <c r="R712" s="2391"/>
      <c r="S712" s="2391"/>
      <c r="T712" s="2391"/>
      <c r="U712" s="2391"/>
      <c r="V712" s="2391"/>
      <c r="W712" s="2391"/>
      <c r="X712" s="2391"/>
      <c r="Y712" s="2391"/>
      <c r="Z712" s="2391"/>
      <c r="AA712" s="2391"/>
      <c r="AB712" s="2391"/>
      <c r="AC712" s="536"/>
      <c r="AD712" s="536"/>
      <c r="AE712" s="536"/>
      <c r="AF712" s="2392" t="s">
        <v>1400</v>
      </c>
      <c r="AG712" s="2392"/>
      <c r="AH712" s="2392"/>
      <c r="AI712" s="2392"/>
      <c r="AJ712" s="2392"/>
      <c r="AK712" s="2392"/>
      <c r="AL712" s="2392"/>
      <c r="AN712" s="595"/>
      <c r="AO712" s="609" t="s">
        <v>509</v>
      </c>
      <c r="AP712" s="549">
        <v>1</v>
      </c>
    </row>
    <row r="713" spans="1:51" s="549" customFormat="1" ht="12" customHeight="1">
      <c r="B713" s="536"/>
      <c r="C713" s="927"/>
      <c r="E713" s="2391"/>
      <c r="F713" s="2391"/>
      <c r="G713" s="2391"/>
      <c r="H713" s="2391"/>
      <c r="I713" s="2391"/>
      <c r="J713" s="2391"/>
      <c r="K713" s="2391"/>
      <c r="L713" s="2391"/>
      <c r="M713" s="2391"/>
      <c r="N713" s="2391"/>
      <c r="O713" s="2391"/>
      <c r="P713" s="2391"/>
      <c r="Q713" s="2391"/>
      <c r="R713" s="2391"/>
      <c r="S713" s="2391"/>
      <c r="T713" s="2391"/>
      <c r="U713" s="2391"/>
      <c r="V713" s="2391"/>
      <c r="W713" s="2391"/>
      <c r="X713" s="2391"/>
      <c r="Y713" s="2391"/>
      <c r="Z713" s="2391"/>
      <c r="AA713" s="2391"/>
      <c r="AB713" s="2391"/>
      <c r="AC713" s="536"/>
      <c r="AD713" s="536"/>
      <c r="AE713" s="614"/>
      <c r="AF713" s="536"/>
      <c r="AG713" s="536"/>
      <c r="AH713" s="536"/>
      <c r="AI713" s="536"/>
      <c r="AJ713" s="536"/>
      <c r="AK713" s="536"/>
      <c r="AL713" s="536"/>
      <c r="AN713" s="595"/>
    </row>
    <row r="714" spans="1:51" s="549" customFormat="1" ht="12" customHeight="1">
      <c r="B714" s="536"/>
      <c r="C714" s="927"/>
      <c r="D714" s="536"/>
      <c r="E714" s="2391"/>
      <c r="F714" s="2391"/>
      <c r="G714" s="2391"/>
      <c r="H714" s="2391"/>
      <c r="I714" s="2391"/>
      <c r="J714" s="2391"/>
      <c r="K714" s="2391"/>
      <c r="L714" s="2391"/>
      <c r="M714" s="2391"/>
      <c r="N714" s="2391"/>
      <c r="O714" s="2391"/>
      <c r="P714" s="2391"/>
      <c r="Q714" s="2391"/>
      <c r="R714" s="2391"/>
      <c r="S714" s="2391"/>
      <c r="T714" s="2391"/>
      <c r="U714" s="2391"/>
      <c r="V714" s="2391"/>
      <c r="W714" s="2391"/>
      <c r="X714" s="2391"/>
      <c r="Y714" s="2391"/>
      <c r="Z714" s="2391"/>
      <c r="AA714" s="2391"/>
      <c r="AB714" s="2391"/>
      <c r="AC714" s="536"/>
      <c r="AD714" s="536"/>
      <c r="AE714" s="614"/>
      <c r="AF714" s="536"/>
      <c r="AG714" s="536"/>
      <c r="AH714" s="536"/>
      <c r="AI714" s="536"/>
      <c r="AJ714" s="536"/>
      <c r="AK714" s="536"/>
      <c r="AL714" s="536"/>
      <c r="AN714" s="595"/>
    </row>
    <row r="715" spans="1:51" s="549" customFormat="1" ht="12" customHeight="1">
      <c r="B715" s="536"/>
      <c r="C715" s="927"/>
      <c r="D715" s="536"/>
      <c r="E715" s="2391"/>
      <c r="F715" s="2391"/>
      <c r="G715" s="2391"/>
      <c r="H715" s="2391"/>
      <c r="I715" s="2391"/>
      <c r="J715" s="2391"/>
      <c r="K715" s="2391"/>
      <c r="L715" s="2391"/>
      <c r="M715" s="2391"/>
      <c r="N715" s="2391"/>
      <c r="O715" s="2391"/>
      <c r="P715" s="2391"/>
      <c r="Q715" s="2391"/>
      <c r="R715" s="2391"/>
      <c r="S715" s="2391"/>
      <c r="T715" s="2391"/>
      <c r="U715" s="2391"/>
      <c r="V715" s="2391"/>
      <c r="W715" s="2391"/>
      <c r="X715" s="2391"/>
      <c r="Y715" s="2391"/>
      <c r="Z715" s="2391"/>
      <c r="AA715" s="2391"/>
      <c r="AB715" s="2391"/>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1"/>
      <c r="F716" s="2391"/>
      <c r="G716" s="2391"/>
      <c r="H716" s="2391"/>
      <c r="I716" s="2391"/>
      <c r="J716" s="2391"/>
      <c r="K716" s="2391"/>
      <c r="L716" s="2391"/>
      <c r="M716" s="2391"/>
      <c r="N716" s="2391"/>
      <c r="O716" s="2391"/>
      <c r="P716" s="2391"/>
      <c r="Q716" s="2391"/>
      <c r="R716" s="2391"/>
      <c r="S716" s="2391"/>
      <c r="T716" s="2391"/>
      <c r="U716" s="2391"/>
      <c r="V716" s="2391"/>
      <c r="W716" s="2391"/>
      <c r="X716" s="2391"/>
      <c r="Y716" s="2391"/>
      <c r="Z716" s="2391"/>
      <c r="AA716" s="2391"/>
      <c r="AB716" s="2391"/>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91" t="s">
        <v>1682</v>
      </c>
      <c r="F718" s="2391"/>
      <c r="G718" s="2391"/>
      <c r="H718" s="2391"/>
      <c r="I718" s="2391"/>
      <c r="J718" s="2391"/>
      <c r="K718" s="2391"/>
      <c r="L718" s="2391"/>
      <c r="M718" s="2391"/>
      <c r="N718" s="2391"/>
      <c r="O718" s="2391"/>
      <c r="P718" s="2391"/>
      <c r="Q718" s="2391"/>
      <c r="R718" s="2391"/>
      <c r="S718" s="2391"/>
      <c r="T718" s="2391"/>
      <c r="U718" s="2391"/>
      <c r="V718" s="2391"/>
      <c r="W718" s="2391"/>
      <c r="X718" s="2391"/>
      <c r="Y718" s="2391"/>
      <c r="Z718" s="2391"/>
      <c r="AA718" s="2391"/>
      <c r="AB718" s="2391"/>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91"/>
      <c r="F719" s="2391"/>
      <c r="G719" s="2391"/>
      <c r="H719" s="2391"/>
      <c r="I719" s="2391"/>
      <c r="J719" s="2391"/>
      <c r="K719" s="2391"/>
      <c r="L719" s="2391"/>
      <c r="M719" s="2391"/>
      <c r="N719" s="2391"/>
      <c r="O719" s="2391"/>
      <c r="P719" s="2391"/>
      <c r="Q719" s="2391"/>
      <c r="R719" s="2391"/>
      <c r="S719" s="2391"/>
      <c r="T719" s="2391"/>
      <c r="U719" s="2391"/>
      <c r="V719" s="2391"/>
      <c r="W719" s="2391"/>
      <c r="X719" s="2391"/>
      <c r="Y719" s="2391"/>
      <c r="Z719" s="2391"/>
      <c r="AA719" s="2391"/>
      <c r="AB719" s="2391"/>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91"/>
      <c r="F720" s="2391"/>
      <c r="G720" s="2391"/>
      <c r="H720" s="2391"/>
      <c r="I720" s="2391"/>
      <c r="J720" s="2391"/>
      <c r="K720" s="2391"/>
      <c r="L720" s="2391"/>
      <c r="M720" s="2391"/>
      <c r="N720" s="2391"/>
      <c r="O720" s="2391"/>
      <c r="P720" s="2391"/>
      <c r="Q720" s="2391"/>
      <c r="R720" s="2391"/>
      <c r="S720" s="2391"/>
      <c r="T720" s="2391"/>
      <c r="U720" s="2391"/>
      <c r="V720" s="2391"/>
      <c r="W720" s="2391"/>
      <c r="X720" s="2391"/>
      <c r="Y720" s="2391"/>
      <c r="Z720" s="2391"/>
      <c r="AA720" s="2391"/>
      <c r="AB720" s="2391"/>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3" t="s">
        <v>591</v>
      </c>
      <c r="I722" s="239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4">
        <f>VLOOKUP($H$722,$AO$716:$AP$719,2,FALSE)</f>
        <v>0</v>
      </c>
      <c r="AK724" s="2395"/>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3" t="s">
        <v>1684</v>
      </c>
      <c r="F728" s="2533"/>
      <c r="G728" s="2533"/>
      <c r="H728" s="2533"/>
      <c r="I728" s="2533"/>
      <c r="J728" s="2533"/>
      <c r="K728" s="2533"/>
      <c r="L728" s="2533"/>
      <c r="M728" s="2533"/>
      <c r="N728" s="2533"/>
      <c r="O728" s="2533"/>
      <c r="P728" s="2533"/>
      <c r="Q728" s="2533"/>
      <c r="R728" s="2533"/>
      <c r="S728" s="2533"/>
      <c r="T728" s="2533"/>
      <c r="U728" s="2533"/>
      <c r="V728" s="2533"/>
      <c r="W728" s="2533"/>
      <c r="X728" s="2533"/>
      <c r="Y728" s="2533"/>
      <c r="Z728" s="2533"/>
      <c r="AA728" s="2533"/>
      <c r="AB728" s="2533"/>
      <c r="AC728" s="536"/>
      <c r="AD728" s="536"/>
      <c r="AE728" s="536"/>
      <c r="AF728" s="2392" t="s">
        <v>1346</v>
      </c>
      <c r="AG728" s="2392"/>
      <c r="AH728" s="2392"/>
      <c r="AI728" s="2392"/>
      <c r="AJ728" s="2392"/>
      <c r="AK728" s="2392"/>
      <c r="AL728" s="2392"/>
      <c r="AM728" s="549"/>
      <c r="AN728" s="680"/>
      <c r="AP728" s="568" t="s">
        <v>1424</v>
      </c>
    </row>
    <row r="729" spans="1:43" s="568" customFormat="1" ht="11.85" customHeight="1">
      <c r="A729" s="549"/>
      <c r="B729" s="536"/>
      <c r="C729" s="929"/>
      <c r="D729" s="659"/>
      <c r="E729" s="2533"/>
      <c r="F729" s="2533"/>
      <c r="G729" s="2533"/>
      <c r="H729" s="2533"/>
      <c r="I729" s="2533"/>
      <c r="J729" s="2533"/>
      <c r="K729" s="2533"/>
      <c r="L729" s="2533"/>
      <c r="M729" s="2533"/>
      <c r="N729" s="2533"/>
      <c r="O729" s="2533"/>
      <c r="P729" s="2533"/>
      <c r="Q729" s="2533"/>
      <c r="R729" s="2533"/>
      <c r="S729" s="2533"/>
      <c r="T729" s="2533"/>
      <c r="U729" s="2533"/>
      <c r="V729" s="2533"/>
      <c r="W729" s="2533"/>
      <c r="X729" s="2533"/>
      <c r="Y729" s="2533"/>
      <c r="Z729" s="2533"/>
      <c r="AA729" s="2533"/>
      <c r="AB729" s="2533"/>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3"/>
      <c r="F730" s="2533"/>
      <c r="G730" s="2533"/>
      <c r="H730" s="2533"/>
      <c r="I730" s="2533"/>
      <c r="J730" s="2533"/>
      <c r="K730" s="2533"/>
      <c r="L730" s="2533"/>
      <c r="M730" s="2533"/>
      <c r="N730" s="2533"/>
      <c r="O730" s="2533"/>
      <c r="P730" s="2533"/>
      <c r="Q730" s="2533"/>
      <c r="R730" s="2533"/>
      <c r="S730" s="2533"/>
      <c r="T730" s="2533"/>
      <c r="U730" s="2533"/>
      <c r="V730" s="2533"/>
      <c r="W730" s="2533"/>
      <c r="X730" s="2533"/>
      <c r="Y730" s="2533"/>
      <c r="Z730" s="2533"/>
      <c r="AA730" s="2533"/>
      <c r="AB730" s="2533"/>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4" t="s">
        <v>1427</v>
      </c>
      <c r="F732" s="2534"/>
      <c r="G732" s="2534"/>
      <c r="H732" s="2534"/>
      <c r="I732" s="2534"/>
      <c r="J732" s="2534"/>
      <c r="K732" s="2534"/>
      <c r="L732" s="2534"/>
      <c r="M732" s="2534"/>
      <c r="N732" s="2534"/>
      <c r="O732" s="2534"/>
      <c r="P732" s="2534"/>
      <c r="Q732" s="2534"/>
      <c r="R732" s="2534"/>
      <c r="S732" s="2534"/>
      <c r="T732" s="2534"/>
      <c r="U732" s="2534"/>
      <c r="V732" s="2534"/>
      <c r="W732" s="2534"/>
      <c r="X732" s="2534"/>
      <c r="Y732" s="2534"/>
      <c r="Z732" s="2534"/>
      <c r="AA732" s="2534"/>
      <c r="AB732" s="2534"/>
      <c r="AC732" s="536"/>
      <c r="AD732" s="536"/>
      <c r="AE732" s="536"/>
      <c r="AF732" s="2392" t="s">
        <v>1400</v>
      </c>
      <c r="AG732" s="2392"/>
      <c r="AH732" s="2392"/>
      <c r="AI732" s="2392"/>
      <c r="AJ732" s="2392"/>
      <c r="AK732" s="2392"/>
      <c r="AL732" s="2392"/>
      <c r="AM732" s="549"/>
      <c r="AN732" s="681"/>
    </row>
    <row r="733" spans="1:43" s="568" customFormat="1" ht="12.75" customHeight="1">
      <c r="A733" s="549"/>
      <c r="B733" s="536"/>
      <c r="C733" s="929"/>
      <c r="D733" s="536"/>
      <c r="E733" s="2534"/>
      <c r="F733" s="2534"/>
      <c r="G733" s="2534"/>
      <c r="H733" s="2534"/>
      <c r="I733" s="2534"/>
      <c r="J733" s="2534"/>
      <c r="K733" s="2534"/>
      <c r="L733" s="2534"/>
      <c r="M733" s="2534"/>
      <c r="N733" s="2534"/>
      <c r="O733" s="2534"/>
      <c r="P733" s="2534"/>
      <c r="Q733" s="2534"/>
      <c r="R733" s="2534"/>
      <c r="S733" s="2534"/>
      <c r="T733" s="2534"/>
      <c r="U733" s="2534"/>
      <c r="V733" s="2534"/>
      <c r="W733" s="2534"/>
      <c r="X733" s="2534"/>
      <c r="Y733" s="2534"/>
      <c r="Z733" s="2534"/>
      <c r="AA733" s="2534"/>
      <c r="AB733" s="2534"/>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4"/>
      <c r="F734" s="2534"/>
      <c r="G734" s="2534"/>
      <c r="H734" s="2534"/>
      <c r="I734" s="2534"/>
      <c r="J734" s="2534"/>
      <c r="K734" s="2534"/>
      <c r="L734" s="2534"/>
      <c r="M734" s="2534"/>
      <c r="N734" s="2534"/>
      <c r="O734" s="2534"/>
      <c r="P734" s="2534"/>
      <c r="Q734" s="2534"/>
      <c r="R734" s="2534"/>
      <c r="S734" s="2534"/>
      <c r="T734" s="2534"/>
      <c r="U734" s="2534"/>
      <c r="V734" s="2534"/>
      <c r="W734" s="2534"/>
      <c r="X734" s="2534"/>
      <c r="Y734" s="2534"/>
      <c r="Z734" s="2534"/>
      <c r="AA734" s="2534"/>
      <c r="AB734" s="2534"/>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93" t="s">
        <v>591</v>
      </c>
      <c r="I736" s="239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4">
        <f>VLOOKUP($H$736,$AP$733:$AQ$735,2,FALSE)</f>
        <v>0</v>
      </c>
      <c r="AK738" s="2395"/>
      <c r="AL738" s="593"/>
      <c r="AM738" s="549"/>
      <c r="AN738" s="680"/>
      <c r="AP738" s="2394"/>
      <c r="AQ738" s="239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91" t="s">
        <v>1685</v>
      </c>
      <c r="F742" s="2391"/>
      <c r="G742" s="2391"/>
      <c r="H742" s="2391"/>
      <c r="I742" s="2391"/>
      <c r="J742" s="2391"/>
      <c r="K742" s="2391"/>
      <c r="L742" s="2391"/>
      <c r="M742" s="2391"/>
      <c r="N742" s="2391"/>
      <c r="O742" s="2391"/>
      <c r="P742" s="2391"/>
      <c r="Q742" s="2391"/>
      <c r="R742" s="2391"/>
      <c r="S742" s="2391"/>
      <c r="T742" s="2391"/>
      <c r="U742" s="2391"/>
      <c r="V742" s="2391"/>
      <c r="W742" s="2391"/>
      <c r="X742" s="2391"/>
      <c r="Y742" s="2391"/>
      <c r="Z742" s="2391"/>
      <c r="AA742" s="2391"/>
      <c r="AB742" s="2391"/>
      <c r="AC742" s="536"/>
      <c r="AD742" s="536"/>
      <c r="AE742" s="536"/>
      <c r="AF742" s="2392" t="s">
        <v>1346</v>
      </c>
      <c r="AG742" s="2392"/>
      <c r="AH742" s="2392"/>
      <c r="AI742" s="2392"/>
      <c r="AJ742" s="2392"/>
      <c r="AK742" s="2392"/>
      <c r="AL742" s="2392"/>
      <c r="AM742" s="549"/>
      <c r="AN742" s="680"/>
      <c r="AT742" s="14"/>
      <c r="AU742" s="14"/>
      <c r="AV742" s="14"/>
      <c r="AW742" s="14"/>
      <c r="AX742" s="14"/>
      <c r="AY742" s="14"/>
      <c r="AZ742" s="14"/>
    </row>
    <row r="743" spans="1:81" s="568" customFormat="1">
      <c r="A743" s="549"/>
      <c r="B743" s="536"/>
      <c r="C743" s="929"/>
      <c r="D743" s="659"/>
      <c r="E743" s="2391"/>
      <c r="F743" s="2391"/>
      <c r="G743" s="2391"/>
      <c r="H743" s="2391"/>
      <c r="I743" s="2391"/>
      <c r="J743" s="2391"/>
      <c r="K743" s="2391"/>
      <c r="L743" s="2391"/>
      <c r="M743" s="2391"/>
      <c r="N743" s="2391"/>
      <c r="O743" s="2391"/>
      <c r="P743" s="2391"/>
      <c r="Q743" s="2391"/>
      <c r="R743" s="2391"/>
      <c r="S743" s="2391"/>
      <c r="T743" s="2391"/>
      <c r="U743" s="2391"/>
      <c r="V743" s="2391"/>
      <c r="W743" s="2391"/>
      <c r="X743" s="2391"/>
      <c r="Y743" s="2391"/>
      <c r="Z743" s="2391"/>
      <c r="AA743" s="2391"/>
      <c r="AB743" s="2391"/>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91" t="s">
        <v>1431</v>
      </c>
      <c r="F745" s="2391"/>
      <c r="G745" s="2391"/>
      <c r="H745" s="2391"/>
      <c r="I745" s="2391"/>
      <c r="J745" s="2391"/>
      <c r="K745" s="2391"/>
      <c r="L745" s="2391"/>
      <c r="M745" s="2391"/>
      <c r="N745" s="2391"/>
      <c r="O745" s="2391"/>
      <c r="P745" s="2391"/>
      <c r="Q745" s="2391"/>
      <c r="R745" s="2391"/>
      <c r="S745" s="2391"/>
      <c r="T745" s="2391"/>
      <c r="U745" s="2391"/>
      <c r="V745" s="2391"/>
      <c r="W745" s="2391"/>
      <c r="X745" s="2391"/>
      <c r="Y745" s="2391"/>
      <c r="Z745" s="2391"/>
      <c r="AA745" s="2391"/>
      <c r="AB745" s="2391"/>
      <c r="AC745" s="536"/>
      <c r="AD745" s="536"/>
      <c r="AE745" s="536"/>
      <c r="AF745" s="2392" t="s">
        <v>1400</v>
      </c>
      <c r="AG745" s="2392"/>
      <c r="AH745" s="2392"/>
      <c r="AI745" s="2392"/>
      <c r="AJ745" s="2392"/>
      <c r="AK745" s="2392"/>
      <c r="AL745" s="2392"/>
      <c r="AM745" s="549"/>
      <c r="AN745" s="680"/>
      <c r="AT745" s="14"/>
      <c r="AU745" s="14"/>
      <c r="AV745" s="14"/>
      <c r="AW745" s="14"/>
      <c r="AX745" s="14"/>
      <c r="AY745" s="14"/>
      <c r="AZ745" s="14"/>
    </row>
    <row r="746" spans="1:81" s="568" customFormat="1">
      <c r="A746" s="549"/>
      <c r="B746" s="536"/>
      <c r="C746" s="929"/>
      <c r="D746" s="536"/>
      <c r="E746" s="2391"/>
      <c r="F746" s="2391"/>
      <c r="G746" s="2391"/>
      <c r="H746" s="2391"/>
      <c r="I746" s="2391"/>
      <c r="J746" s="2391"/>
      <c r="K746" s="2391"/>
      <c r="L746" s="2391"/>
      <c r="M746" s="2391"/>
      <c r="N746" s="2391"/>
      <c r="O746" s="2391"/>
      <c r="P746" s="2391"/>
      <c r="Q746" s="2391"/>
      <c r="R746" s="2391"/>
      <c r="S746" s="2391"/>
      <c r="T746" s="2391"/>
      <c r="U746" s="2391"/>
      <c r="V746" s="2391"/>
      <c r="W746" s="2391"/>
      <c r="X746" s="2391"/>
      <c r="Y746" s="2391"/>
      <c r="Z746" s="2391"/>
      <c r="AA746" s="2391"/>
      <c r="AB746" s="2391"/>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3" t="s">
        <v>591</v>
      </c>
      <c r="I748" s="239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4">
        <f>VLOOKUP($H$748,$AO$679:$AP$681,2,FALSE)</f>
        <v>0</v>
      </c>
      <c r="AK750" s="239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91" t="s">
        <v>1434</v>
      </c>
      <c r="F754" s="2391"/>
      <c r="G754" s="2391"/>
      <c r="H754" s="2391"/>
      <c r="I754" s="2391"/>
      <c r="J754" s="2391"/>
      <c r="K754" s="2391"/>
      <c r="L754" s="2391"/>
      <c r="M754" s="2391"/>
      <c r="N754" s="2391"/>
      <c r="O754" s="2391"/>
      <c r="P754" s="2391"/>
      <c r="Q754" s="2391"/>
      <c r="R754" s="2391"/>
      <c r="S754" s="2391"/>
      <c r="T754" s="2391"/>
      <c r="U754" s="2391"/>
      <c r="V754" s="2391"/>
      <c r="W754" s="2391"/>
      <c r="X754" s="2391"/>
      <c r="Y754" s="2391"/>
      <c r="Z754" s="2391"/>
      <c r="AA754" s="2391"/>
      <c r="AB754" s="2391"/>
      <c r="AC754" s="536"/>
      <c r="AD754" s="536"/>
      <c r="AE754" s="536"/>
      <c r="AF754" s="2392" t="s">
        <v>1346</v>
      </c>
      <c r="AG754" s="2392"/>
      <c r="AH754" s="2392"/>
      <c r="AI754" s="2392"/>
      <c r="AJ754" s="2392"/>
      <c r="AK754" s="2392"/>
      <c r="AL754" s="2392"/>
      <c r="AM754" s="549"/>
      <c r="AN754" s="680"/>
      <c r="AT754" s="14"/>
      <c r="AU754" s="14"/>
      <c r="AV754" s="14"/>
      <c r="AW754" s="14"/>
      <c r="AX754" s="14"/>
      <c r="AY754" s="14"/>
      <c r="AZ754" s="14"/>
    </row>
    <row r="755" spans="1:81" s="568" customFormat="1">
      <c r="A755" s="549"/>
      <c r="B755" s="536"/>
      <c r="C755" s="927"/>
      <c r="D755" s="659"/>
      <c r="E755" s="2391"/>
      <c r="F755" s="2391"/>
      <c r="G755" s="2391"/>
      <c r="H755" s="2391"/>
      <c r="I755" s="2391"/>
      <c r="J755" s="2391"/>
      <c r="K755" s="2391"/>
      <c r="L755" s="2391"/>
      <c r="M755" s="2391"/>
      <c r="N755" s="2391"/>
      <c r="O755" s="2391"/>
      <c r="P755" s="2391"/>
      <c r="Q755" s="2391"/>
      <c r="R755" s="2391"/>
      <c r="S755" s="2391"/>
      <c r="T755" s="2391"/>
      <c r="U755" s="2391"/>
      <c r="V755" s="2391"/>
      <c r="W755" s="2391"/>
      <c r="X755" s="2391"/>
      <c r="Y755" s="2391"/>
      <c r="Z755" s="2391"/>
      <c r="AA755" s="2391"/>
      <c r="AB755" s="2391"/>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1"/>
      <c r="F756" s="2391"/>
      <c r="G756" s="2391"/>
      <c r="H756" s="2391"/>
      <c r="I756" s="2391"/>
      <c r="J756" s="2391"/>
      <c r="K756" s="2391"/>
      <c r="L756" s="2391"/>
      <c r="M756" s="2391"/>
      <c r="N756" s="2391"/>
      <c r="O756" s="2391"/>
      <c r="P756" s="2391"/>
      <c r="Q756" s="2391"/>
      <c r="R756" s="2391"/>
      <c r="S756" s="2391"/>
      <c r="T756" s="2391"/>
      <c r="U756" s="2391"/>
      <c r="V756" s="2391"/>
      <c r="W756" s="2391"/>
      <c r="X756" s="2391"/>
      <c r="Y756" s="2391"/>
      <c r="Z756" s="2391"/>
      <c r="AA756" s="2391"/>
      <c r="AB756" s="2391"/>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1"/>
      <c r="F757" s="2391"/>
      <c r="G757" s="2391"/>
      <c r="H757" s="2391"/>
      <c r="I757" s="2391"/>
      <c r="J757" s="2391"/>
      <c r="K757" s="2391"/>
      <c r="L757" s="2391"/>
      <c r="M757" s="2391"/>
      <c r="N757" s="2391"/>
      <c r="O757" s="2391"/>
      <c r="P757" s="2391"/>
      <c r="Q757" s="2391"/>
      <c r="R757" s="2391"/>
      <c r="S757" s="2391"/>
      <c r="T757" s="2391"/>
      <c r="U757" s="2391"/>
      <c r="V757" s="2391"/>
      <c r="W757" s="2391"/>
      <c r="X757" s="2391"/>
      <c r="Y757" s="2391"/>
      <c r="Z757" s="2391"/>
      <c r="AA757" s="2391"/>
      <c r="AB757" s="2391"/>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91" t="s">
        <v>1435</v>
      </c>
      <c r="F759" s="2391"/>
      <c r="G759" s="2391"/>
      <c r="H759" s="2391"/>
      <c r="I759" s="2391"/>
      <c r="J759" s="2391"/>
      <c r="K759" s="2391"/>
      <c r="L759" s="2391"/>
      <c r="M759" s="2391"/>
      <c r="N759" s="2391"/>
      <c r="O759" s="2391"/>
      <c r="P759" s="2391"/>
      <c r="Q759" s="2391"/>
      <c r="R759" s="2391"/>
      <c r="S759" s="2391"/>
      <c r="T759" s="2391"/>
      <c r="U759" s="2391"/>
      <c r="V759" s="2391"/>
      <c r="W759" s="2391"/>
      <c r="X759" s="2391"/>
      <c r="Y759" s="2391"/>
      <c r="Z759" s="2391"/>
      <c r="AA759" s="2391"/>
      <c r="AB759" s="573"/>
      <c r="AC759" s="536"/>
      <c r="AD759" s="536"/>
      <c r="AE759" s="536"/>
      <c r="AF759" s="2392" t="s">
        <v>1400</v>
      </c>
      <c r="AG759" s="2392"/>
      <c r="AH759" s="2392"/>
      <c r="AI759" s="2392"/>
      <c r="AJ759" s="2392"/>
      <c r="AK759" s="2392"/>
      <c r="AL759" s="2392"/>
      <c r="AM759" s="549"/>
      <c r="AN759" s="680"/>
      <c r="AO759" s="30"/>
      <c r="AP759" s="14"/>
    </row>
    <row r="760" spans="1:81" s="568" customFormat="1">
      <c r="A760" s="549"/>
      <c r="B760" s="536"/>
      <c r="C760" s="927"/>
      <c r="D760" s="659"/>
      <c r="E760" s="2391"/>
      <c r="F760" s="2391"/>
      <c r="G760" s="2391"/>
      <c r="H760" s="2391"/>
      <c r="I760" s="2391"/>
      <c r="J760" s="2391"/>
      <c r="K760" s="2391"/>
      <c r="L760" s="2391"/>
      <c r="M760" s="2391"/>
      <c r="N760" s="2391"/>
      <c r="O760" s="2391"/>
      <c r="P760" s="2391"/>
      <c r="Q760" s="2391"/>
      <c r="R760" s="2391"/>
      <c r="S760" s="2391"/>
      <c r="T760" s="2391"/>
      <c r="U760" s="2391"/>
      <c r="V760" s="2391"/>
      <c r="W760" s="2391"/>
      <c r="X760" s="2391"/>
      <c r="Y760" s="2391"/>
      <c r="Z760" s="2391"/>
      <c r="AA760" s="2391"/>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1"/>
      <c r="F761" s="2391"/>
      <c r="G761" s="2391"/>
      <c r="H761" s="2391"/>
      <c r="I761" s="2391"/>
      <c r="J761" s="2391"/>
      <c r="K761" s="2391"/>
      <c r="L761" s="2391"/>
      <c r="M761" s="2391"/>
      <c r="N761" s="2391"/>
      <c r="O761" s="2391"/>
      <c r="P761" s="2391"/>
      <c r="Q761" s="2391"/>
      <c r="R761" s="2391"/>
      <c r="S761" s="2391"/>
      <c r="T761" s="2391"/>
      <c r="U761" s="2391"/>
      <c r="V761" s="2391"/>
      <c r="W761" s="2391"/>
      <c r="X761" s="2391"/>
      <c r="Y761" s="2391"/>
      <c r="Z761" s="2391"/>
      <c r="AA761" s="2391"/>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1"/>
      <c r="F762" s="2391"/>
      <c r="G762" s="2391"/>
      <c r="H762" s="2391"/>
      <c r="I762" s="2391"/>
      <c r="J762" s="2391"/>
      <c r="K762" s="2391"/>
      <c r="L762" s="2391"/>
      <c r="M762" s="2391"/>
      <c r="N762" s="2391"/>
      <c r="O762" s="2391"/>
      <c r="P762" s="2391"/>
      <c r="Q762" s="2391"/>
      <c r="R762" s="2391"/>
      <c r="S762" s="2391"/>
      <c r="T762" s="2391"/>
      <c r="U762" s="2391"/>
      <c r="V762" s="2391"/>
      <c r="W762" s="2391"/>
      <c r="X762" s="2391"/>
      <c r="Y762" s="2391"/>
      <c r="Z762" s="2391"/>
      <c r="AA762" s="2391"/>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3" t="s">
        <v>591</v>
      </c>
      <c r="I764" s="239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4">
        <f>VLOOKUP($H$764,$AO$693:$AP$695,2,FALSE)</f>
        <v>0</v>
      </c>
      <c r="AK766" s="239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91" t="s">
        <v>1437</v>
      </c>
      <c r="F770" s="2391"/>
      <c r="G770" s="2391"/>
      <c r="H770" s="2391"/>
      <c r="I770" s="2391"/>
      <c r="J770" s="2391"/>
      <c r="K770" s="2391"/>
      <c r="L770" s="2391"/>
      <c r="M770" s="2391"/>
      <c r="N770" s="2391"/>
      <c r="O770" s="2391"/>
      <c r="P770" s="2391"/>
      <c r="Q770" s="2391"/>
      <c r="R770" s="2391"/>
      <c r="S770" s="2391"/>
      <c r="T770" s="2391"/>
      <c r="U770" s="2391"/>
      <c r="V770" s="2391"/>
      <c r="W770" s="2391"/>
      <c r="X770" s="2391"/>
      <c r="Y770" s="2391"/>
      <c r="Z770" s="2391"/>
      <c r="AA770" s="2391"/>
      <c r="AB770" s="2391"/>
      <c r="AC770" s="536"/>
      <c r="AD770" s="536"/>
      <c r="AE770" s="536"/>
      <c r="AF770" s="2392" t="s">
        <v>1400</v>
      </c>
      <c r="AG770" s="2392"/>
      <c r="AH770" s="2392"/>
      <c r="AI770" s="2392"/>
      <c r="AJ770" s="2392"/>
      <c r="AK770" s="2392"/>
      <c r="AL770" s="239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1"/>
      <c r="F771" s="2391"/>
      <c r="G771" s="2391"/>
      <c r="H771" s="2391"/>
      <c r="I771" s="2391"/>
      <c r="J771" s="2391"/>
      <c r="K771" s="2391"/>
      <c r="L771" s="2391"/>
      <c r="M771" s="2391"/>
      <c r="N771" s="2391"/>
      <c r="O771" s="2391"/>
      <c r="P771" s="2391"/>
      <c r="Q771" s="2391"/>
      <c r="R771" s="2391"/>
      <c r="S771" s="2391"/>
      <c r="T771" s="2391"/>
      <c r="U771" s="2391"/>
      <c r="V771" s="2391"/>
      <c r="W771" s="2391"/>
      <c r="X771" s="2391"/>
      <c r="Y771" s="2391"/>
      <c r="Z771" s="2391"/>
      <c r="AA771" s="2391"/>
      <c r="AB771" s="2391"/>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91" t="s">
        <v>1438</v>
      </c>
      <c r="F773" s="2391"/>
      <c r="G773" s="2391"/>
      <c r="H773" s="2391"/>
      <c r="I773" s="2391"/>
      <c r="J773" s="2391"/>
      <c r="K773" s="2391"/>
      <c r="L773" s="2391"/>
      <c r="M773" s="2391"/>
      <c r="N773" s="2391"/>
      <c r="O773" s="2391"/>
      <c r="P773" s="2391"/>
      <c r="Q773" s="2391"/>
      <c r="R773" s="2391"/>
      <c r="S773" s="2391"/>
      <c r="T773" s="2391"/>
      <c r="U773" s="2391"/>
      <c r="V773" s="2391"/>
      <c r="W773" s="2391"/>
      <c r="X773" s="2391"/>
      <c r="Y773" s="2391"/>
      <c r="Z773" s="2391"/>
      <c r="AA773" s="2391"/>
      <c r="AB773" s="2391"/>
      <c r="AC773" s="536"/>
      <c r="AD773" s="536"/>
      <c r="AE773" s="536"/>
      <c r="AF773" s="2392" t="s">
        <v>1417</v>
      </c>
      <c r="AG773" s="2392"/>
      <c r="AH773" s="2392"/>
      <c r="AI773" s="2392"/>
      <c r="AJ773" s="2392"/>
      <c r="AK773" s="2392"/>
      <c r="AL773" s="239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1"/>
      <c r="F774" s="2391"/>
      <c r="G774" s="2391"/>
      <c r="H774" s="2391"/>
      <c r="I774" s="2391"/>
      <c r="J774" s="2391"/>
      <c r="K774" s="2391"/>
      <c r="L774" s="2391"/>
      <c r="M774" s="2391"/>
      <c r="N774" s="2391"/>
      <c r="O774" s="2391"/>
      <c r="P774" s="2391"/>
      <c r="Q774" s="2391"/>
      <c r="R774" s="2391"/>
      <c r="S774" s="2391"/>
      <c r="T774" s="2391"/>
      <c r="U774" s="2391"/>
      <c r="V774" s="2391"/>
      <c r="W774" s="2391"/>
      <c r="X774" s="2391"/>
      <c r="Y774" s="2391"/>
      <c r="Z774" s="2391"/>
      <c r="AA774" s="2391"/>
      <c r="AB774" s="2391"/>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3" t="s">
        <v>509</v>
      </c>
      <c r="I776" s="239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4">
        <f>VLOOKUP($H$776,$AO$710:$AP$712,2,FALSE)</f>
        <v>1</v>
      </c>
      <c r="AK778" s="239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91" t="s">
        <v>1681</v>
      </c>
      <c r="F782" s="2391"/>
      <c r="G782" s="2391"/>
      <c r="H782" s="2391"/>
      <c r="I782" s="2391"/>
      <c r="J782" s="2391"/>
      <c r="K782" s="2391"/>
      <c r="L782" s="2391"/>
      <c r="M782" s="2391"/>
      <c r="N782" s="2391"/>
      <c r="O782" s="2391"/>
      <c r="P782" s="2391"/>
      <c r="Q782" s="2391"/>
      <c r="R782" s="2391"/>
      <c r="S782" s="2391"/>
      <c r="T782" s="2391"/>
      <c r="U782" s="2391"/>
      <c r="V782" s="2391"/>
      <c r="W782" s="2391"/>
      <c r="X782" s="2391"/>
      <c r="Y782" s="2391"/>
      <c r="Z782" s="2391"/>
      <c r="AA782" s="2391"/>
      <c r="AB782" s="2391"/>
      <c r="AC782" s="2391"/>
      <c r="AD782" s="2391"/>
      <c r="AE782" s="536"/>
      <c r="AF782" s="2392" t="s">
        <v>1400</v>
      </c>
      <c r="AG782" s="2392"/>
      <c r="AH782" s="2392"/>
      <c r="AI782" s="2392"/>
      <c r="AJ782" s="2392"/>
      <c r="AK782" s="2392"/>
      <c r="AL782" s="2392"/>
      <c r="AM782" s="611"/>
      <c r="AN782" s="680"/>
      <c r="AO782" s="549" t="s">
        <v>591</v>
      </c>
      <c r="AP782" s="669">
        <v>0</v>
      </c>
    </row>
    <row r="783" spans="1:74" s="568" customFormat="1" ht="13.7" customHeight="1">
      <c r="A783" s="549"/>
      <c r="B783" s="614"/>
      <c r="C783" s="936"/>
      <c r="D783" s="659"/>
      <c r="E783" s="2391"/>
      <c r="F783" s="2391"/>
      <c r="G783" s="2391"/>
      <c r="H783" s="2391"/>
      <c r="I783" s="2391"/>
      <c r="J783" s="2391"/>
      <c r="K783" s="2391"/>
      <c r="L783" s="2391"/>
      <c r="M783" s="2391"/>
      <c r="N783" s="2391"/>
      <c r="O783" s="2391"/>
      <c r="P783" s="2391"/>
      <c r="Q783" s="2391"/>
      <c r="R783" s="2391"/>
      <c r="S783" s="2391"/>
      <c r="T783" s="2391"/>
      <c r="U783" s="2391"/>
      <c r="V783" s="2391"/>
      <c r="W783" s="2391"/>
      <c r="X783" s="2391"/>
      <c r="Y783" s="2391"/>
      <c r="Z783" s="2391"/>
      <c r="AA783" s="2391"/>
      <c r="AB783" s="2391"/>
      <c r="AC783" s="2391"/>
      <c r="AD783" s="2391"/>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91"/>
      <c r="F784" s="2391"/>
      <c r="G784" s="2391"/>
      <c r="H784" s="2391"/>
      <c r="I784" s="2391"/>
      <c r="J784" s="2391"/>
      <c r="K784" s="2391"/>
      <c r="L784" s="2391"/>
      <c r="M784" s="2391"/>
      <c r="N784" s="2391"/>
      <c r="O784" s="2391"/>
      <c r="P784" s="2391"/>
      <c r="Q784" s="2391"/>
      <c r="R784" s="2391"/>
      <c r="S784" s="2391"/>
      <c r="T784" s="2391"/>
      <c r="U784" s="2391"/>
      <c r="V784" s="2391"/>
      <c r="W784" s="2391"/>
      <c r="X784" s="2391"/>
      <c r="Y784" s="2391"/>
      <c r="Z784" s="2391"/>
      <c r="AA784" s="2391"/>
      <c r="AB784" s="2391"/>
      <c r="AC784" s="2391"/>
      <c r="AD784" s="2391"/>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1"/>
      <c r="F785" s="2391"/>
      <c r="G785" s="2391"/>
      <c r="H785" s="2391"/>
      <c r="I785" s="2391"/>
      <c r="J785" s="2391"/>
      <c r="K785" s="2391"/>
      <c r="L785" s="2391"/>
      <c r="M785" s="2391"/>
      <c r="N785" s="2391"/>
      <c r="O785" s="2391"/>
      <c r="P785" s="2391"/>
      <c r="Q785" s="2391"/>
      <c r="R785" s="2391"/>
      <c r="S785" s="2391"/>
      <c r="T785" s="2391"/>
      <c r="U785" s="2391"/>
      <c r="V785" s="2391"/>
      <c r="W785" s="2391"/>
      <c r="X785" s="2391"/>
      <c r="Y785" s="2391"/>
      <c r="Z785" s="2391"/>
      <c r="AA785" s="2391"/>
      <c r="AB785" s="2391"/>
      <c r="AC785" s="2391"/>
      <c r="AD785" s="2391"/>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2" t="s">
        <v>1686</v>
      </c>
      <c r="F787" s="2532"/>
      <c r="G787" s="2532"/>
      <c r="H787" s="2532"/>
      <c r="I787" s="2532"/>
      <c r="J787" s="2532"/>
      <c r="K787" s="2532"/>
      <c r="L787" s="2532"/>
      <c r="M787" s="2532"/>
      <c r="N787" s="2532"/>
      <c r="O787" s="2532"/>
      <c r="P787" s="2532"/>
      <c r="Q787" s="2532"/>
      <c r="R787" s="2532"/>
      <c r="S787" s="2532"/>
      <c r="T787" s="2532"/>
      <c r="U787" s="2532"/>
      <c r="V787" s="2532"/>
      <c r="W787" s="2532"/>
      <c r="X787" s="2532"/>
      <c r="Y787" s="2532"/>
      <c r="Z787" s="2532"/>
      <c r="AA787" s="2532"/>
      <c r="AB787" s="2532"/>
      <c r="AC787" s="2532"/>
      <c r="AD787" s="2532"/>
      <c r="AE787" s="536"/>
      <c r="AF787" s="2392" t="s">
        <v>1346</v>
      </c>
      <c r="AG787" s="2392"/>
      <c r="AH787" s="2392"/>
      <c r="AI787" s="2392"/>
      <c r="AJ787" s="2392"/>
      <c r="AK787" s="2392"/>
      <c r="AL787" s="2392"/>
      <c r="AM787" s="611"/>
      <c r="AN787" s="595"/>
    </row>
    <row r="788" spans="1:81" s="549" customFormat="1" ht="12.75" customHeight="1">
      <c r="B788" s="614"/>
      <c r="C788" s="936"/>
      <c r="D788" s="659"/>
      <c r="E788" s="2532"/>
      <c r="F788" s="2532"/>
      <c r="G788" s="2532"/>
      <c r="H788" s="2532"/>
      <c r="I788" s="2532"/>
      <c r="J788" s="2532"/>
      <c r="K788" s="2532"/>
      <c r="L788" s="2532"/>
      <c r="M788" s="2532"/>
      <c r="N788" s="2532"/>
      <c r="O788" s="2532"/>
      <c r="P788" s="2532"/>
      <c r="Q788" s="2532"/>
      <c r="R788" s="2532"/>
      <c r="S788" s="2532"/>
      <c r="T788" s="2532"/>
      <c r="U788" s="2532"/>
      <c r="V788" s="2532"/>
      <c r="W788" s="2532"/>
      <c r="X788" s="2532"/>
      <c r="Y788" s="2532"/>
      <c r="Z788" s="2532"/>
      <c r="AA788" s="2532"/>
      <c r="AB788" s="2532"/>
      <c r="AC788" s="2532"/>
      <c r="AD788" s="2532"/>
      <c r="AE788" s="592"/>
      <c r="AF788" s="592"/>
      <c r="AG788" s="592"/>
      <c r="AH788" s="592"/>
      <c r="AI788" s="592"/>
      <c r="AJ788" s="592"/>
      <c r="AK788" s="592"/>
      <c r="AL788" s="592"/>
      <c r="AM788" s="611"/>
      <c r="AN788" s="595"/>
    </row>
    <row r="789" spans="1:81" s="549" customFormat="1" ht="12.75" customHeight="1">
      <c r="B789" s="614"/>
      <c r="C789" s="936"/>
      <c r="D789" s="659"/>
      <c r="E789" s="2532"/>
      <c r="F789" s="2532"/>
      <c r="G789" s="2532"/>
      <c r="H789" s="2532"/>
      <c r="I789" s="2532"/>
      <c r="J789" s="2532"/>
      <c r="K789" s="2532"/>
      <c r="L789" s="2532"/>
      <c r="M789" s="2532"/>
      <c r="N789" s="2532"/>
      <c r="O789" s="2532"/>
      <c r="P789" s="2532"/>
      <c r="Q789" s="2532"/>
      <c r="R789" s="2532"/>
      <c r="S789" s="2532"/>
      <c r="T789" s="2532"/>
      <c r="U789" s="2532"/>
      <c r="V789" s="2532"/>
      <c r="W789" s="2532"/>
      <c r="X789" s="2532"/>
      <c r="Y789" s="2532"/>
      <c r="Z789" s="2532"/>
      <c r="AA789" s="2532"/>
      <c r="AB789" s="2532"/>
      <c r="AC789" s="2532"/>
      <c r="AD789" s="2532"/>
      <c r="AE789" s="592"/>
      <c r="AF789" s="592"/>
      <c r="AG789" s="592"/>
      <c r="AH789" s="592"/>
      <c r="AI789" s="592"/>
      <c r="AJ789" s="592"/>
      <c r="AK789" s="592"/>
      <c r="AL789" s="592"/>
      <c r="AM789" s="611"/>
      <c r="AN789" s="595"/>
    </row>
    <row r="790" spans="1:81" s="549" customFormat="1" ht="12.75" customHeight="1">
      <c r="B790" s="614"/>
      <c r="C790" s="936"/>
      <c r="D790" s="659"/>
      <c r="E790" s="2532"/>
      <c r="F790" s="2532"/>
      <c r="G790" s="2532"/>
      <c r="H790" s="2532"/>
      <c r="I790" s="2532"/>
      <c r="J790" s="2532"/>
      <c r="K790" s="2532"/>
      <c r="L790" s="2532"/>
      <c r="M790" s="2532"/>
      <c r="N790" s="2532"/>
      <c r="O790" s="2532"/>
      <c r="P790" s="2532"/>
      <c r="Q790" s="2532"/>
      <c r="R790" s="2532"/>
      <c r="S790" s="2532"/>
      <c r="T790" s="2532"/>
      <c r="U790" s="2532"/>
      <c r="V790" s="2532"/>
      <c r="W790" s="2532"/>
      <c r="X790" s="2532"/>
      <c r="Y790" s="2532"/>
      <c r="Z790" s="2532"/>
      <c r="AA790" s="2532"/>
      <c r="AB790" s="2532"/>
      <c r="AC790" s="2532"/>
      <c r="AD790" s="253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3" t="s">
        <v>591</v>
      </c>
      <c r="I792" s="239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4">
        <f>VLOOKUP($H$792,$AO$782:$AP$784,2,FALSE)</f>
        <v>0</v>
      </c>
      <c r="AK794" s="239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91" t="s">
        <v>2633</v>
      </c>
      <c r="F798" s="2391"/>
      <c r="G798" s="2391"/>
      <c r="H798" s="2391"/>
      <c r="I798" s="2391"/>
      <c r="J798" s="2391"/>
      <c r="K798" s="2391"/>
      <c r="L798" s="2391"/>
      <c r="M798" s="2391"/>
      <c r="N798" s="2391"/>
      <c r="O798" s="2391"/>
      <c r="P798" s="2391"/>
      <c r="Q798" s="2391"/>
      <c r="R798" s="2391"/>
      <c r="S798" s="2391"/>
      <c r="T798" s="2391"/>
      <c r="U798" s="2391"/>
      <c r="V798" s="2391"/>
      <c r="W798" s="2391"/>
      <c r="X798" s="2391"/>
      <c r="Y798" s="2391"/>
      <c r="Z798" s="2391"/>
      <c r="AA798" s="2391"/>
      <c r="AB798" s="2391"/>
      <c r="AC798" s="2391"/>
      <c r="AD798" s="2391"/>
      <c r="AE798" s="536"/>
      <c r="AF798" s="2392" t="s">
        <v>1346</v>
      </c>
      <c r="AG798" s="2392"/>
      <c r="AH798" s="2392"/>
      <c r="AI798" s="2392"/>
      <c r="AJ798" s="2392"/>
      <c r="AK798" s="2392"/>
      <c r="AL798" s="2392"/>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91"/>
      <c r="F799" s="2391"/>
      <c r="G799" s="2391"/>
      <c r="H799" s="2391"/>
      <c r="I799" s="2391"/>
      <c r="J799" s="2391"/>
      <c r="K799" s="2391"/>
      <c r="L799" s="2391"/>
      <c r="M799" s="2391"/>
      <c r="N799" s="2391"/>
      <c r="O799" s="2391"/>
      <c r="P799" s="2391"/>
      <c r="Q799" s="2391"/>
      <c r="R799" s="2391"/>
      <c r="S799" s="2391"/>
      <c r="T799" s="2391"/>
      <c r="U799" s="2391"/>
      <c r="V799" s="2391"/>
      <c r="W799" s="2391"/>
      <c r="X799" s="2391"/>
      <c r="Y799" s="2391"/>
      <c r="Z799" s="2391"/>
      <c r="AA799" s="2391"/>
      <c r="AB799" s="2391"/>
      <c r="AC799" s="2391"/>
      <c r="AD799" s="2391"/>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1"/>
      <c r="F800" s="2391"/>
      <c r="G800" s="2391"/>
      <c r="H800" s="2391"/>
      <c r="I800" s="2391"/>
      <c r="J800" s="2391"/>
      <c r="K800" s="2391"/>
      <c r="L800" s="2391"/>
      <c r="M800" s="2391"/>
      <c r="N800" s="2391"/>
      <c r="O800" s="2391"/>
      <c r="P800" s="2391"/>
      <c r="Q800" s="2391"/>
      <c r="R800" s="2391"/>
      <c r="S800" s="2391"/>
      <c r="T800" s="2391"/>
      <c r="U800" s="2391"/>
      <c r="V800" s="2391"/>
      <c r="W800" s="2391"/>
      <c r="X800" s="2391"/>
      <c r="Y800" s="2391"/>
      <c r="Z800" s="2391"/>
      <c r="AA800" s="2391"/>
      <c r="AB800" s="2391"/>
      <c r="AC800" s="2391"/>
      <c r="AD800" s="2391"/>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1"/>
      <c r="F801" s="2391"/>
      <c r="G801" s="2391"/>
      <c r="H801" s="2391"/>
      <c r="I801" s="2391"/>
      <c r="J801" s="2391"/>
      <c r="K801" s="2391"/>
      <c r="L801" s="2391"/>
      <c r="M801" s="2391"/>
      <c r="N801" s="2391"/>
      <c r="O801" s="2391"/>
      <c r="P801" s="2391"/>
      <c r="Q801" s="2391"/>
      <c r="R801" s="2391"/>
      <c r="S801" s="2391"/>
      <c r="T801" s="2391"/>
      <c r="U801" s="2391"/>
      <c r="V801" s="2391"/>
      <c r="W801" s="2391"/>
      <c r="X801" s="2391"/>
      <c r="Y801" s="2391"/>
      <c r="Z801" s="2391"/>
      <c r="AA801" s="2391"/>
      <c r="AB801" s="2391"/>
      <c r="AC801" s="2391"/>
      <c r="AD801" s="2391"/>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3" t="s">
        <v>591</v>
      </c>
      <c r="I803" s="239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4">
        <f>VLOOKUP($H$803,$AO$797:$AP$798,2,FALSE)</f>
        <v>0</v>
      </c>
      <c r="AK805" s="239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91" t="s">
        <v>2595</v>
      </c>
      <c r="F809" s="2391"/>
      <c r="G809" s="2391"/>
      <c r="H809" s="2391"/>
      <c r="I809" s="2391"/>
      <c r="J809" s="2391"/>
      <c r="K809" s="2391"/>
      <c r="L809" s="2391"/>
      <c r="M809" s="2391"/>
      <c r="N809" s="2391"/>
      <c r="O809" s="2391"/>
      <c r="P809" s="2391"/>
      <c r="Q809" s="2391"/>
      <c r="R809" s="2391"/>
      <c r="S809" s="2391"/>
      <c r="T809" s="2391"/>
      <c r="U809" s="2391"/>
      <c r="V809" s="2391"/>
      <c r="W809" s="2391"/>
      <c r="X809" s="2391"/>
      <c r="Y809" s="2391"/>
      <c r="Z809" s="2391"/>
      <c r="AA809" s="2391"/>
      <c r="AB809" s="2391"/>
      <c r="AC809" s="2391"/>
      <c r="AD809" s="2391"/>
      <c r="AE809" s="550"/>
      <c r="AF809" s="2392" t="s">
        <v>1371</v>
      </c>
      <c r="AG809" s="2392"/>
      <c r="AH809" s="2392"/>
      <c r="AI809" s="2392"/>
      <c r="AJ809" s="2392"/>
      <c r="AK809" s="2392"/>
      <c r="AL809" s="2392"/>
      <c r="AN809" s="595"/>
    </row>
    <row r="810" spans="1:81" s="549" customFormat="1" ht="12.75" customHeight="1">
      <c r="B810" s="614"/>
      <c r="C810" s="684"/>
      <c r="D810" s="659"/>
      <c r="E810" s="2391"/>
      <c r="F810" s="2391"/>
      <c r="G810" s="2391"/>
      <c r="H810" s="2391"/>
      <c r="I810" s="2391"/>
      <c r="J810" s="2391"/>
      <c r="K810" s="2391"/>
      <c r="L810" s="2391"/>
      <c r="M810" s="2391"/>
      <c r="N810" s="2391"/>
      <c r="O810" s="2391"/>
      <c r="P810" s="2391"/>
      <c r="Q810" s="2391"/>
      <c r="R810" s="2391"/>
      <c r="S810" s="2391"/>
      <c r="T810" s="2391"/>
      <c r="U810" s="2391"/>
      <c r="V810" s="2391"/>
      <c r="W810" s="2391"/>
      <c r="X810" s="2391"/>
      <c r="Y810" s="2391"/>
      <c r="Z810" s="2391"/>
      <c r="AA810" s="2391"/>
      <c r="AB810" s="2391"/>
      <c r="AC810" s="2391"/>
      <c r="AD810" s="2391"/>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3" t="s">
        <v>591</v>
      </c>
      <c r="I812" s="239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394">
        <f>IF(H812="Yes",5,0)</f>
        <v>0</v>
      </c>
      <c r="AK814" s="239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4">
        <f>IF(($AJ$634+$AJ$653+$AJ$665+$AJ$700+$AJ$724+$AJ$738+$AJ$750+$AJ$766+$AJ$778+$AJ$794+AJ805+AJ814)&gt;10,10,($AJ$634+$AJ$653+$AJ$665+$AJ$700+$AJ$724+$AJ$738+$AJ$750+$AJ$766+$AJ$778+$AJ$794+AJ805+AJ814))</f>
        <v>10</v>
      </c>
      <c r="AL816" s="2440"/>
      <c r="AM816" s="239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1" t="s">
        <v>1558</v>
      </c>
      <c r="B819" s="2522"/>
      <c r="C819" s="2522"/>
      <c r="D819" s="2522"/>
      <c r="E819" s="2522"/>
      <c r="F819" s="2522"/>
      <c r="G819" s="2522"/>
      <c r="H819" s="2522"/>
      <c r="I819" s="2522"/>
      <c r="J819" s="2522"/>
      <c r="K819" s="2522"/>
      <c r="L819" s="2522"/>
      <c r="M819" s="2522"/>
      <c r="N819" s="2522"/>
      <c r="O819" s="2522"/>
      <c r="P819" s="2522"/>
      <c r="Q819" s="2522"/>
      <c r="R819" s="2522"/>
      <c r="S819" s="2522"/>
      <c r="T819" s="2522"/>
      <c r="U819" s="2522"/>
      <c r="V819" s="2522"/>
      <c r="W819" s="2522"/>
      <c r="X819" s="2522"/>
      <c r="Y819" s="2522"/>
      <c r="Z819" s="2522"/>
      <c r="AA819" s="2522"/>
      <c r="AB819" s="2522"/>
      <c r="AC819" s="2522"/>
      <c r="AD819" s="2522"/>
      <c r="AE819" s="2522"/>
      <c r="AF819" s="2522"/>
      <c r="AG819" s="2522"/>
      <c r="AH819" s="2522"/>
      <c r="AI819" s="2522"/>
      <c r="AJ819" s="2522"/>
      <c r="AK819" s="2522"/>
      <c r="AL819" s="2522"/>
      <c r="AM819" s="2522"/>
    </row>
    <row r="820" spans="1:43">
      <c r="A820" s="2523"/>
      <c r="B820" s="2523"/>
      <c r="C820" s="2523"/>
      <c r="D820" s="2523"/>
      <c r="E820" s="2523"/>
      <c r="F820" s="2523"/>
      <c r="G820" s="2523"/>
      <c r="H820" s="2523"/>
      <c r="I820" s="2523"/>
      <c r="J820" s="2523"/>
      <c r="K820" s="2523"/>
      <c r="L820" s="2523"/>
      <c r="M820" s="2523"/>
      <c r="N820" s="2523"/>
      <c r="O820" s="2523"/>
      <c r="P820" s="2523"/>
      <c r="Q820" s="2523"/>
      <c r="R820" s="2523"/>
      <c r="S820" s="2523"/>
      <c r="T820" s="2523"/>
      <c r="U820" s="2523"/>
      <c r="V820" s="2523"/>
      <c r="W820" s="2523"/>
      <c r="X820" s="2523"/>
      <c r="Y820" s="2523"/>
      <c r="Z820" s="2523"/>
      <c r="AA820" s="2523"/>
      <c r="AB820" s="2523"/>
      <c r="AC820" s="2523"/>
      <c r="AD820" s="2523"/>
      <c r="AE820" s="2523"/>
      <c r="AF820" s="2523"/>
      <c r="AG820" s="2523"/>
      <c r="AH820" s="2523"/>
      <c r="AI820" s="2523"/>
      <c r="AJ820" s="2523"/>
      <c r="AK820" s="2523"/>
      <c r="AL820" s="2523"/>
      <c r="AM820" s="252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7"/>
      <c r="B822" s="2467"/>
      <c r="C822" s="2467"/>
      <c r="D822" s="2467"/>
      <c r="E822" s="2467"/>
      <c r="F822" s="2467"/>
      <c r="G822" s="2467"/>
      <c r="H822" s="2467"/>
      <c r="I822" s="2467"/>
      <c r="J822" s="2467"/>
      <c r="K822" s="2467"/>
      <c r="L822" s="2467"/>
      <c r="M822" s="2467"/>
      <c r="N822" s="2467"/>
      <c r="O822" s="2467"/>
      <c r="P822" s="2467"/>
      <c r="Q822" s="2467"/>
      <c r="R822" s="2467"/>
      <c r="S822" s="2467"/>
      <c r="T822" s="2467"/>
      <c r="U822" s="2467"/>
      <c r="V822" s="2467"/>
      <c r="W822" s="2467"/>
      <c r="X822" s="2467"/>
      <c r="Y822" s="2467"/>
      <c r="Z822" s="2467"/>
      <c r="AA822" s="2467"/>
      <c r="AB822" s="2467"/>
      <c r="AC822" s="2467"/>
      <c r="AD822" s="2467"/>
      <c r="AE822" s="2467"/>
      <c r="AF822" s="2467"/>
      <c r="AG822" s="2467"/>
      <c r="AH822" s="2467"/>
      <c r="AI822" s="2467"/>
      <c r="AJ822" s="2467"/>
      <c r="AK822" s="2467"/>
      <c r="AL822" s="2467"/>
      <c r="AM822" s="2467"/>
      <c r="AP822" s="812"/>
      <c r="AQ822" s="812"/>
    </row>
    <row r="823" spans="1:43">
      <c r="A823" s="2467"/>
      <c r="B823" s="2467"/>
      <c r="C823" s="2467"/>
      <c r="D823" s="2467"/>
      <c r="E823" s="2467"/>
      <c r="F823" s="2467"/>
      <c r="G823" s="2467"/>
      <c r="H823" s="2467"/>
      <c r="I823" s="2467"/>
      <c r="J823" s="2467"/>
      <c r="K823" s="2467"/>
      <c r="L823" s="2467"/>
      <c r="M823" s="2467"/>
      <c r="N823" s="2467"/>
      <c r="O823" s="2467"/>
      <c r="P823" s="2467"/>
      <c r="Q823" s="2467"/>
      <c r="R823" s="2467"/>
      <c r="S823" s="2467"/>
      <c r="T823" s="2467"/>
      <c r="U823" s="2467"/>
      <c r="V823" s="2467"/>
      <c r="W823" s="2467"/>
      <c r="X823" s="2467"/>
      <c r="Y823" s="2467"/>
      <c r="Z823" s="2467"/>
      <c r="AA823" s="2467"/>
      <c r="AB823" s="2467"/>
      <c r="AC823" s="2467"/>
      <c r="AD823" s="2467"/>
      <c r="AE823" s="2467"/>
      <c r="AF823" s="2467"/>
      <c r="AG823" s="2467"/>
      <c r="AH823" s="2467"/>
      <c r="AI823" s="2467"/>
      <c r="AJ823" s="2467"/>
      <c r="AK823" s="2467"/>
      <c r="AL823" s="2467"/>
      <c r="AM823" s="2467"/>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4" t="s">
        <v>1559</v>
      </c>
      <c r="U824" s="2525"/>
      <c r="V824" s="2525"/>
      <c r="W824" s="2525"/>
      <c r="X824" s="2525"/>
      <c r="Y824" s="2526"/>
      <c r="Z824" s="2524" t="s">
        <v>1560</v>
      </c>
      <c r="AA824" s="2525"/>
      <c r="AB824" s="2525"/>
      <c r="AC824" s="2525"/>
      <c r="AD824" s="2525"/>
      <c r="AE824" s="2526"/>
      <c r="AF824" s="2524" t="s">
        <v>1561</v>
      </c>
      <c r="AG824" s="2525"/>
      <c r="AH824" s="2525"/>
      <c r="AI824" s="2525"/>
      <c r="AJ824" s="2525"/>
      <c r="AK824" s="252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7"/>
      <c r="U825" s="2528"/>
      <c r="V825" s="2528"/>
      <c r="W825" s="2528"/>
      <c r="X825" s="2528"/>
      <c r="Y825" s="2529"/>
      <c r="Z825" s="2527"/>
      <c r="AA825" s="2528"/>
      <c r="AB825" s="2528"/>
      <c r="AC825" s="2528"/>
      <c r="AD825" s="2528"/>
      <c r="AE825" s="2529"/>
      <c r="AF825" s="2527"/>
      <c r="AG825" s="2528"/>
      <c r="AH825" s="2528"/>
      <c r="AI825" s="2528"/>
      <c r="AJ825" s="2528"/>
      <c r="AK825" s="2529"/>
      <c r="AL825" s="814"/>
      <c r="AM825" s="594"/>
      <c r="AO825" s="812"/>
      <c r="AP825" s="812"/>
      <c r="AQ825" s="812"/>
    </row>
    <row r="826" spans="1:43">
      <c r="A826" s="815" t="s">
        <v>757</v>
      </c>
      <c r="B826" s="2482" t="str">
        <f>B7</f>
        <v xml:space="preserve">Acquisition/Rehabilitation Project Priorities </v>
      </c>
      <c r="C826" s="2482"/>
      <c r="D826" s="2482"/>
      <c r="E826" s="2482"/>
      <c r="F826" s="2482"/>
      <c r="G826" s="2482"/>
      <c r="H826" s="2482"/>
      <c r="I826" s="2482"/>
      <c r="J826" s="2482"/>
      <c r="K826" s="2482"/>
      <c r="L826" s="2482"/>
      <c r="M826" s="2482"/>
      <c r="N826" s="2482"/>
      <c r="O826" s="2482"/>
      <c r="P826" s="2482"/>
      <c r="Q826" s="2482"/>
      <c r="R826" s="2482"/>
      <c r="S826" s="2483"/>
      <c r="T826" s="2509">
        <f>AK61</f>
        <v>10</v>
      </c>
      <c r="U826" s="2486"/>
      <c r="V826" s="2486"/>
      <c r="W826" s="2486"/>
      <c r="X826" s="2486"/>
      <c r="Y826" s="2487"/>
      <c r="Z826" s="2485">
        <v>20</v>
      </c>
      <c r="AA826" s="2486"/>
      <c r="AB826" s="2486"/>
      <c r="AC826" s="2486"/>
      <c r="AD826" s="2486"/>
      <c r="AE826" s="2487"/>
      <c r="AF826" s="2465">
        <f>IF(T826&gt;Z826,Z826,T826)</f>
        <v>10</v>
      </c>
      <c r="AG826" s="2465"/>
      <c r="AH826" s="2465"/>
      <c r="AI826" s="2465"/>
      <c r="AJ826" s="2465"/>
      <c r="AK826" s="2465"/>
      <c r="AL826" s="814"/>
      <c r="AM826" s="594"/>
      <c r="AO826" s="812"/>
      <c r="AP826" s="812"/>
      <c r="AQ826" s="812"/>
    </row>
    <row r="827" spans="1:43">
      <c r="A827" s="815" t="s">
        <v>1532</v>
      </c>
      <c r="B827" s="2482" t="s">
        <v>1307</v>
      </c>
      <c r="C827" s="2482"/>
      <c r="D827" s="2482"/>
      <c r="E827" s="2482"/>
      <c r="F827" s="2482"/>
      <c r="G827" s="2482"/>
      <c r="H827" s="2482"/>
      <c r="I827" s="2482"/>
      <c r="J827" s="2482"/>
      <c r="K827" s="2482"/>
      <c r="L827" s="2482"/>
      <c r="M827" s="2482"/>
      <c r="N827" s="2482"/>
      <c r="O827" s="2482"/>
      <c r="P827" s="2482"/>
      <c r="Q827" s="2482"/>
      <c r="R827" s="2482"/>
      <c r="S827" s="2483"/>
      <c r="T827" s="2509">
        <f>AK83</f>
        <v>0</v>
      </c>
      <c r="U827" s="2486"/>
      <c r="V827" s="2486"/>
      <c r="W827" s="2486"/>
      <c r="X827" s="2486"/>
      <c r="Y827" s="2487"/>
      <c r="Z827" s="2485">
        <v>10</v>
      </c>
      <c r="AA827" s="2486"/>
      <c r="AB827" s="2486"/>
      <c r="AC827" s="2486"/>
      <c r="AD827" s="2486"/>
      <c r="AE827" s="2487"/>
      <c r="AF827" s="2465">
        <f>IF(T827&gt;Z827,Z827,T827)</f>
        <v>0</v>
      </c>
      <c r="AG827" s="2465"/>
      <c r="AH827" s="2465"/>
      <c r="AI827" s="2465"/>
      <c r="AJ827" s="2465"/>
      <c r="AK827" s="2465"/>
      <c r="AL827" s="814"/>
      <c r="AM827" s="594"/>
      <c r="AO827" s="812"/>
      <c r="AP827" s="812"/>
      <c r="AQ827" s="812"/>
    </row>
    <row r="828" spans="1:43">
      <c r="A828" s="815" t="s">
        <v>1541</v>
      </c>
      <c r="B828" s="2482" t="s">
        <v>1317</v>
      </c>
      <c r="C828" s="2482"/>
      <c r="D828" s="2482"/>
      <c r="E828" s="2482"/>
      <c r="F828" s="2482"/>
      <c r="G828" s="2482"/>
      <c r="H828" s="2482"/>
      <c r="I828" s="2482"/>
      <c r="J828" s="2482"/>
      <c r="K828" s="2482"/>
      <c r="L828" s="2482"/>
      <c r="M828" s="2482"/>
      <c r="N828" s="2482"/>
      <c r="O828" s="2482"/>
      <c r="P828" s="2482"/>
      <c r="Q828" s="2482"/>
      <c r="R828" s="2482"/>
      <c r="S828" s="2483"/>
      <c r="T828" s="2509">
        <f ca="1">AK108</f>
        <v>20</v>
      </c>
      <c r="U828" s="2486"/>
      <c r="V828" s="2486"/>
      <c r="W828" s="2486"/>
      <c r="X828" s="2486"/>
      <c r="Y828" s="2487"/>
      <c r="Z828" s="2485">
        <v>20</v>
      </c>
      <c r="AA828" s="2486"/>
      <c r="AB828" s="2486"/>
      <c r="AC828" s="2486"/>
      <c r="AD828" s="2486"/>
      <c r="AE828" s="2487"/>
      <c r="AF828" s="2465">
        <f ca="1">IF(T828&gt;Z828,Z828,T828)</f>
        <v>20</v>
      </c>
      <c r="AG828" s="2465"/>
      <c r="AH828" s="2465"/>
      <c r="AI828" s="2465"/>
      <c r="AJ828" s="2465"/>
      <c r="AK828" s="2465"/>
      <c r="AL828" s="814"/>
      <c r="AM828" s="594"/>
      <c r="AO828" s="812"/>
      <c r="AP828" s="812"/>
      <c r="AQ828" s="812"/>
    </row>
    <row r="829" spans="1:43">
      <c r="A829" s="815" t="s">
        <v>1562</v>
      </c>
      <c r="B829" s="2482" t="s">
        <v>1327</v>
      </c>
      <c r="C829" s="2482"/>
      <c r="D829" s="2482"/>
      <c r="E829" s="2482"/>
      <c r="F829" s="2482"/>
      <c r="G829" s="2482"/>
      <c r="H829" s="2482"/>
      <c r="I829" s="2482"/>
      <c r="J829" s="2482"/>
      <c r="K829" s="2482"/>
      <c r="L829" s="2482"/>
      <c r="M829" s="2482"/>
      <c r="N829" s="2482"/>
      <c r="O829" s="2482"/>
      <c r="P829" s="2482"/>
      <c r="Q829" s="2482"/>
      <c r="R829" s="2482"/>
      <c r="S829" s="2483"/>
      <c r="T829" s="2509">
        <f>AK142</f>
        <v>10</v>
      </c>
      <c r="U829" s="2486"/>
      <c r="V829" s="2486"/>
      <c r="W829" s="2486"/>
      <c r="X829" s="2486"/>
      <c r="Y829" s="2487"/>
      <c r="Z829" s="2485">
        <v>10</v>
      </c>
      <c r="AA829" s="2486"/>
      <c r="AB829" s="2486"/>
      <c r="AC829" s="2486"/>
      <c r="AD829" s="2486"/>
      <c r="AE829" s="2487"/>
      <c r="AF829" s="2465">
        <f>IF(T829&gt;Z829,Z829,T829)</f>
        <v>10</v>
      </c>
      <c r="AG829" s="2465"/>
      <c r="AH829" s="2465"/>
      <c r="AI829" s="2465"/>
      <c r="AJ829" s="2465"/>
      <c r="AK829" s="2465"/>
      <c r="AL829" s="814"/>
      <c r="AM829" s="594"/>
      <c r="AO829" s="812"/>
      <c r="AP829" s="812"/>
      <c r="AQ829" s="812"/>
    </row>
    <row r="830" spans="1:43">
      <c r="A830" s="816" t="s">
        <v>1563</v>
      </c>
      <c r="B830" s="2482" t="s">
        <v>1564</v>
      </c>
      <c r="C830" s="2482"/>
      <c r="D830" s="2482"/>
      <c r="E830" s="2482"/>
      <c r="F830" s="2482"/>
      <c r="G830" s="2482"/>
      <c r="H830" s="2482"/>
      <c r="I830" s="2482"/>
      <c r="J830" s="2482"/>
      <c r="K830" s="2482"/>
      <c r="L830" s="2482"/>
      <c r="M830" s="2482"/>
      <c r="N830" s="2482"/>
      <c r="O830" s="2482"/>
      <c r="P830" s="2482"/>
      <c r="Q830" s="2482"/>
      <c r="R830" s="2482"/>
      <c r="S830" s="2483"/>
      <c r="T830" s="2484">
        <f>SUM(T831:Y832)</f>
        <v>10</v>
      </c>
      <c r="U830" s="2484"/>
      <c r="V830" s="2484"/>
      <c r="W830" s="2484"/>
      <c r="X830" s="2484"/>
      <c r="Y830" s="2484"/>
      <c r="Z830" s="2465">
        <v>10</v>
      </c>
      <c r="AA830" s="2465"/>
      <c r="AB830" s="2465"/>
      <c r="AC830" s="2465"/>
      <c r="AD830" s="2465"/>
      <c r="AE830" s="2465"/>
      <c r="AF830" s="2465">
        <f>IF(T830&gt;Z830,Z830,T830)</f>
        <v>10</v>
      </c>
      <c r="AG830" s="2465"/>
      <c r="AH830" s="2465"/>
      <c r="AI830" s="2465"/>
      <c r="AJ830" s="2465"/>
      <c r="AK830" s="2465"/>
      <c r="AL830" s="814"/>
      <c r="AM830" s="594"/>
    </row>
    <row r="831" spans="1:43">
      <c r="A831" s="535"/>
      <c r="B831" s="599"/>
      <c r="C831" s="2488" t="s">
        <v>1565</v>
      </c>
      <c r="D831" s="2488"/>
      <c r="E831" s="2488"/>
      <c r="F831" s="2488"/>
      <c r="G831" s="2488"/>
      <c r="H831" s="2488"/>
      <c r="I831" s="2488"/>
      <c r="J831" s="2488"/>
      <c r="K831" s="2488"/>
      <c r="L831" s="2488"/>
      <c r="M831" s="2488"/>
      <c r="N831" s="2488"/>
      <c r="O831" s="2488"/>
      <c r="P831" s="2488"/>
      <c r="Q831" s="2488"/>
      <c r="R831" s="2488"/>
      <c r="S831" s="2489"/>
      <c r="T831" s="2490">
        <f>AJ165</f>
        <v>7</v>
      </c>
      <c r="U831" s="2490"/>
      <c r="V831" s="2490"/>
      <c r="W831" s="2490"/>
      <c r="X831" s="2490"/>
      <c r="Y831" s="2490"/>
      <c r="Z831" s="2491">
        <v>7</v>
      </c>
      <c r="AA831" s="2491"/>
      <c r="AB831" s="2491"/>
      <c r="AC831" s="2491"/>
      <c r="AD831" s="2491"/>
      <c r="AE831" s="2491"/>
      <c r="AF831" s="2492"/>
      <c r="AG831" s="2492"/>
      <c r="AH831" s="2492"/>
      <c r="AI831" s="2492"/>
      <c r="AJ831" s="2492"/>
      <c r="AK831" s="2492"/>
      <c r="AL831" s="814"/>
      <c r="AM831" s="594"/>
    </row>
    <row r="832" spans="1:43">
      <c r="A832" s="598"/>
      <c r="B832" s="599"/>
      <c r="C832" s="2488" t="s">
        <v>1566</v>
      </c>
      <c r="D832" s="2488"/>
      <c r="E832" s="2488"/>
      <c r="F832" s="2488"/>
      <c r="G832" s="2488"/>
      <c r="H832" s="2488"/>
      <c r="I832" s="2488"/>
      <c r="J832" s="2488"/>
      <c r="K832" s="2488"/>
      <c r="L832" s="2488"/>
      <c r="M832" s="2488"/>
      <c r="N832" s="2488"/>
      <c r="O832" s="2488"/>
      <c r="P832" s="2488"/>
      <c r="Q832" s="2488"/>
      <c r="R832" s="2488"/>
      <c r="S832" s="2489"/>
      <c r="T832" s="2490">
        <f>AJ179</f>
        <v>3</v>
      </c>
      <c r="U832" s="2490"/>
      <c r="V832" s="2490"/>
      <c r="W832" s="2490"/>
      <c r="X832" s="2490"/>
      <c r="Y832" s="2490"/>
      <c r="Z832" s="2491">
        <v>3</v>
      </c>
      <c r="AA832" s="2491"/>
      <c r="AB832" s="2491"/>
      <c r="AC832" s="2491"/>
      <c r="AD832" s="2491"/>
      <c r="AE832" s="2491"/>
      <c r="AF832" s="2492"/>
      <c r="AG832" s="2492"/>
      <c r="AH832" s="2492"/>
      <c r="AI832" s="2492"/>
      <c r="AJ832" s="2492"/>
      <c r="AK832" s="2492"/>
      <c r="AL832" s="814"/>
      <c r="AM832" s="594"/>
      <c r="AO832" s="549"/>
    </row>
    <row r="833" spans="1:81">
      <c r="A833" s="816" t="s">
        <v>1355</v>
      </c>
      <c r="B833" s="2482" t="s">
        <v>1567</v>
      </c>
      <c r="C833" s="2482"/>
      <c r="D833" s="2482"/>
      <c r="E833" s="2482"/>
      <c r="F833" s="2482"/>
      <c r="G833" s="2482"/>
      <c r="H833" s="2482"/>
      <c r="I833" s="2482"/>
      <c r="J833" s="2482"/>
      <c r="K833" s="2482"/>
      <c r="L833" s="2482"/>
      <c r="M833" s="2482"/>
      <c r="N833" s="2482"/>
      <c r="O833" s="2482"/>
      <c r="P833" s="2482"/>
      <c r="Q833" s="2482"/>
      <c r="R833" s="2482"/>
      <c r="S833" s="2483"/>
      <c r="T833" s="2484">
        <f>AK190</f>
        <v>0</v>
      </c>
      <c r="U833" s="2484"/>
      <c r="V833" s="2484"/>
      <c r="W833" s="2484"/>
      <c r="X833" s="2484"/>
      <c r="Y833" s="2484"/>
      <c r="Z833" s="2465">
        <v>10</v>
      </c>
      <c r="AA833" s="2465"/>
      <c r="AB833" s="2465"/>
      <c r="AC833" s="2465"/>
      <c r="AD833" s="2465"/>
      <c r="AE833" s="2465"/>
      <c r="AF833" s="2465">
        <f>IF(T833&gt;Z833,Z833,T833)</f>
        <v>0</v>
      </c>
      <c r="AG833" s="2465"/>
      <c r="AH833" s="2465"/>
      <c r="AI833" s="2465"/>
      <c r="AJ833" s="2465"/>
      <c r="AK833" s="2465"/>
      <c r="AL833" s="814"/>
      <c r="AM833" s="594"/>
    </row>
    <row r="834" spans="1:81" hidden="1">
      <c r="A834" s="815" t="s">
        <v>1363</v>
      </c>
      <c r="B834" s="2482" t="s">
        <v>1364</v>
      </c>
      <c r="C834" s="2482"/>
      <c r="D834" s="2482"/>
      <c r="E834" s="2482"/>
      <c r="F834" s="2482"/>
      <c r="G834" s="2482"/>
      <c r="H834" s="2482"/>
      <c r="I834" s="2482"/>
      <c r="J834" s="2482"/>
      <c r="K834" s="2482"/>
      <c r="L834" s="2482"/>
      <c r="M834" s="2482"/>
      <c r="N834" s="2482"/>
      <c r="O834" s="2482"/>
      <c r="P834" s="2482"/>
      <c r="Q834" s="2482"/>
      <c r="R834" s="2482"/>
      <c r="S834" s="2483"/>
      <c r="T834" s="2484">
        <f>AK272</f>
        <v>0</v>
      </c>
      <c r="U834" s="2484"/>
      <c r="V834" s="2484"/>
      <c r="W834" s="2484"/>
      <c r="X834" s="2484"/>
      <c r="Y834" s="2484"/>
      <c r="Z834" s="2485">
        <v>8</v>
      </c>
      <c r="AA834" s="2486"/>
      <c r="AB834" s="2486"/>
      <c r="AC834" s="2486"/>
      <c r="AD834" s="2486"/>
      <c r="AE834" s="2487"/>
      <c r="AF834" s="2465"/>
      <c r="AG834" s="2465"/>
      <c r="AH834" s="2465"/>
      <c r="AI834" s="2465"/>
      <c r="AJ834" s="2465"/>
      <c r="AK834" s="2465"/>
      <c r="AL834" s="814"/>
      <c r="AM834" s="594"/>
    </row>
    <row r="835" spans="1:81" s="534" customFormat="1" hidden="1">
      <c r="A835" s="816" t="s">
        <v>589</v>
      </c>
      <c r="B835" s="2482" t="s">
        <v>1568</v>
      </c>
      <c r="C835" s="2482"/>
      <c r="D835" s="2482"/>
      <c r="E835" s="2482"/>
      <c r="F835" s="2482"/>
      <c r="G835" s="2482"/>
      <c r="H835" s="2482"/>
      <c r="I835" s="2482"/>
      <c r="J835" s="2482"/>
      <c r="K835" s="2482"/>
      <c r="L835" s="2482"/>
      <c r="M835" s="2482"/>
      <c r="N835" s="2482"/>
      <c r="O835" s="2482"/>
      <c r="P835" s="2482"/>
      <c r="Q835" s="2482"/>
      <c r="R835" s="2482"/>
      <c r="S835" s="2483"/>
      <c r="T835" s="2484">
        <f>IF(AK548&gt;5,5,AK548)</f>
        <v>0</v>
      </c>
      <c r="U835" s="2484"/>
      <c r="V835" s="2484"/>
      <c r="W835" s="2484"/>
      <c r="X835" s="2484"/>
      <c r="Y835" s="2484"/>
      <c r="Z835" s="2465">
        <v>5</v>
      </c>
      <c r="AA835" s="2465"/>
      <c r="AB835" s="2465"/>
      <c r="AC835" s="2465"/>
      <c r="AD835" s="2465"/>
      <c r="AE835" s="2465"/>
      <c r="AF835" s="2465"/>
      <c r="AG835" s="2465"/>
      <c r="AH835" s="2465"/>
      <c r="AI835" s="2465"/>
      <c r="AJ835" s="2465"/>
      <c r="AK835" s="246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2" t="str">
        <f>B275</f>
        <v>Readiness to Proceed</v>
      </c>
      <c r="C836" s="2482"/>
      <c r="D836" s="2482"/>
      <c r="E836" s="2482"/>
      <c r="F836" s="2482"/>
      <c r="G836" s="2482"/>
      <c r="H836" s="2482"/>
      <c r="I836" s="2482"/>
      <c r="J836" s="2482"/>
      <c r="K836" s="2482"/>
      <c r="L836" s="2482"/>
      <c r="M836" s="2482"/>
      <c r="N836" s="2482"/>
      <c r="O836" s="2482"/>
      <c r="P836" s="2482"/>
      <c r="Q836" s="2482"/>
      <c r="R836" s="2482"/>
      <c r="S836" s="2483"/>
      <c r="T836" s="2484">
        <f>AK298</f>
        <v>10</v>
      </c>
      <c r="U836" s="2484"/>
      <c r="V836" s="2484"/>
      <c r="W836" s="2484"/>
      <c r="X836" s="2484"/>
      <c r="Y836" s="2484"/>
      <c r="Z836" s="2465">
        <v>10</v>
      </c>
      <c r="AA836" s="2465"/>
      <c r="AB836" s="2465"/>
      <c r="AC836" s="2465"/>
      <c r="AD836" s="2465"/>
      <c r="AE836" s="2465"/>
      <c r="AF836" s="2493">
        <f>IF(T836&gt;Z836,Z836,T836)</f>
        <v>10</v>
      </c>
      <c r="AG836" s="2494"/>
      <c r="AH836" s="2494"/>
      <c r="AI836" s="2494"/>
      <c r="AJ836" s="2494"/>
      <c r="AK836" s="249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2" t="str">
        <f>B301</f>
        <v>Access to Opportunity</v>
      </c>
      <c r="C837" s="2482"/>
      <c r="D837" s="2482"/>
      <c r="E837" s="2482"/>
      <c r="F837" s="2482"/>
      <c r="G837" s="2482"/>
      <c r="H837" s="2482"/>
      <c r="I837" s="2482"/>
      <c r="J837" s="2482"/>
      <c r="K837" s="2482"/>
      <c r="L837" s="2482"/>
      <c r="M837" s="2482"/>
      <c r="N837" s="2482"/>
      <c r="O837" s="2482"/>
      <c r="P837" s="2482"/>
      <c r="Q837" s="2482"/>
      <c r="R837" s="2482"/>
      <c r="S837" s="2483"/>
      <c r="T837" s="2484">
        <f>AK351</f>
        <v>0</v>
      </c>
      <c r="U837" s="2484"/>
      <c r="V837" s="2484"/>
      <c r="W837" s="2484"/>
      <c r="X837" s="2484"/>
      <c r="Y837" s="2484"/>
      <c r="Z837" s="2493">
        <v>10</v>
      </c>
      <c r="AA837" s="2494"/>
      <c r="AB837" s="2494"/>
      <c r="AC837" s="2494"/>
      <c r="AD837" s="2494"/>
      <c r="AE837" s="2495"/>
      <c r="AF837" s="2493">
        <f>IF(T837&gt;Z837,Z837,T837)</f>
        <v>0</v>
      </c>
      <c r="AG837" s="2494"/>
      <c r="AH837" s="2494"/>
      <c r="AI837" s="2494"/>
      <c r="AJ837" s="2494"/>
      <c r="AK837" s="249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90">
        <f>AK351</f>
        <v>0</v>
      </c>
      <c r="U838" s="2490"/>
      <c r="V838" s="2490"/>
      <c r="W838" s="2490"/>
      <c r="X838" s="2490"/>
      <c r="Y838" s="2490"/>
      <c r="Z838" s="2394">
        <v>20</v>
      </c>
      <c r="AA838" s="2440"/>
      <c r="AB838" s="2440"/>
      <c r="AC838" s="2440"/>
      <c r="AD838" s="2440"/>
      <c r="AE838" s="2395"/>
      <c r="AF838" s="2492"/>
      <c r="AG838" s="2492"/>
      <c r="AH838" s="2492"/>
      <c r="AI838" s="2492"/>
      <c r="AJ838" s="2492"/>
      <c r="AK838" s="249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2" t="s">
        <v>845</v>
      </c>
      <c r="C839" s="2482"/>
      <c r="D839" s="2482"/>
      <c r="E839" s="2482"/>
      <c r="F839" s="2482"/>
      <c r="G839" s="2482"/>
      <c r="H839" s="2482"/>
      <c r="I839" s="2482"/>
      <c r="J839" s="2482"/>
      <c r="K839" s="2482"/>
      <c r="L839" s="2482"/>
      <c r="M839" s="2482"/>
      <c r="N839" s="2482"/>
      <c r="O839" s="2482"/>
      <c r="P839" s="2482"/>
      <c r="Q839" s="2482"/>
      <c r="R839" s="2482"/>
      <c r="S839" s="2483"/>
      <c r="T839" s="2484">
        <f>AK482</f>
        <v>10</v>
      </c>
      <c r="U839" s="2484"/>
      <c r="V839" s="2484"/>
      <c r="W839" s="2484"/>
      <c r="X839" s="2484"/>
      <c r="Y839" s="2484"/>
      <c r="Z839" s="2493">
        <v>10</v>
      </c>
      <c r="AA839" s="2494"/>
      <c r="AB839" s="2494"/>
      <c r="AC839" s="2494"/>
      <c r="AD839" s="2494"/>
      <c r="AE839" s="2495"/>
      <c r="AF839" s="2465">
        <f>IF(T839&gt;Z839,Z839,T839)</f>
        <v>10</v>
      </c>
      <c r="AG839" s="2465"/>
      <c r="AH839" s="2465"/>
      <c r="AI839" s="2465"/>
      <c r="AJ839" s="2465"/>
      <c r="AK839" s="246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2" t="s">
        <v>1550</v>
      </c>
      <c r="C840" s="2482"/>
      <c r="D840" s="2482"/>
      <c r="E840" s="2482"/>
      <c r="F840" s="2482"/>
      <c r="G840" s="2482"/>
      <c r="H840" s="2482"/>
      <c r="I840" s="2482"/>
      <c r="J840" s="2482"/>
      <c r="K840" s="2482"/>
      <c r="L840" s="2482"/>
      <c r="M840" s="2482"/>
      <c r="N840" s="2482"/>
      <c r="O840" s="2482"/>
      <c r="P840" s="2482"/>
      <c r="Q840" s="2482"/>
      <c r="R840" s="2482"/>
      <c r="S840" s="2483"/>
      <c r="T840" s="2484">
        <f>AK572</f>
        <v>12</v>
      </c>
      <c r="U840" s="2484"/>
      <c r="V840" s="2484"/>
      <c r="W840" s="2484"/>
      <c r="X840" s="2484"/>
      <c r="Y840" s="2484"/>
      <c r="Z840" s="2493">
        <v>12</v>
      </c>
      <c r="AA840" s="2494"/>
      <c r="AB840" s="2494"/>
      <c r="AC840" s="2494"/>
      <c r="AD840" s="2494"/>
      <c r="AE840" s="2495"/>
      <c r="AF840" s="2465">
        <f>IF(T840&gt;Z840,Z840,T840)</f>
        <v>12</v>
      </c>
      <c r="AG840" s="2465"/>
      <c r="AH840" s="2465"/>
      <c r="AI840" s="2465"/>
      <c r="AJ840" s="2465"/>
      <c r="AK840" s="246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2" t="s">
        <v>1570</v>
      </c>
      <c r="C841" s="2482"/>
      <c r="D841" s="2482"/>
      <c r="E841" s="2482"/>
      <c r="F841" s="2482"/>
      <c r="G841" s="2482"/>
      <c r="H841" s="2482"/>
      <c r="I841" s="2482"/>
      <c r="J841" s="2482"/>
      <c r="K841" s="2482"/>
      <c r="L841" s="2482"/>
      <c r="M841" s="2482"/>
      <c r="N841" s="2482"/>
      <c r="O841" s="2482"/>
      <c r="P841" s="2482"/>
      <c r="Q841" s="2482"/>
      <c r="R841" s="2482"/>
      <c r="S841" s="2483"/>
      <c r="T841" s="2484">
        <f>AK816</f>
        <v>10</v>
      </c>
      <c r="U841" s="2484"/>
      <c r="V841" s="2484"/>
      <c r="W841" s="2484"/>
      <c r="X841" s="2484"/>
      <c r="Y841" s="2484"/>
      <c r="Z841" s="2493">
        <v>10</v>
      </c>
      <c r="AA841" s="2494"/>
      <c r="AB841" s="2494"/>
      <c r="AC841" s="2494"/>
      <c r="AD841" s="2494"/>
      <c r="AE841" s="2495"/>
      <c r="AF841" s="2465">
        <f>IF(T841&gt;Z841,Z841,T841)</f>
        <v>10</v>
      </c>
      <c r="AG841" s="2465"/>
      <c r="AH841" s="2465"/>
      <c r="AI841" s="2465"/>
      <c r="AJ841" s="2465"/>
      <c r="AK841" s="246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496"/>
      <c r="U842" s="2496"/>
      <c r="V842" s="2496"/>
      <c r="W842" s="2496"/>
      <c r="X842" s="2496"/>
      <c r="Y842" s="2496"/>
      <c r="Z842" s="2491" t="s">
        <v>1572</v>
      </c>
      <c r="AA842" s="2491"/>
      <c r="AB842" s="2491"/>
      <c r="AC842" s="2491"/>
      <c r="AD842" s="2491"/>
      <c r="AE842" s="2491"/>
      <c r="AF842" s="2493">
        <f>ABS(T842)</f>
        <v>0</v>
      </c>
      <c r="AG842" s="2494"/>
      <c r="AH842" s="2494"/>
      <c r="AI842" s="2494"/>
      <c r="AJ842" s="2494"/>
      <c r="AK842" s="249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7" t="s">
        <v>1573</v>
      </c>
      <c r="B843" s="2498"/>
      <c r="C843" s="2498"/>
      <c r="D843" s="2498"/>
      <c r="E843" s="2498"/>
      <c r="F843" s="2498"/>
      <c r="G843" s="2498"/>
      <c r="H843" s="2498"/>
      <c r="I843" s="2498"/>
      <c r="J843" s="2498"/>
      <c r="K843" s="2498"/>
      <c r="L843" s="2498"/>
      <c r="M843" s="2498"/>
      <c r="N843" s="2498"/>
      <c r="O843" s="2498"/>
      <c r="P843" s="2498"/>
      <c r="Q843" s="2498"/>
      <c r="R843" s="2498"/>
      <c r="S843" s="2498"/>
      <c r="T843" s="2498"/>
      <c r="U843" s="2498"/>
      <c r="V843" s="2498"/>
      <c r="W843" s="2498"/>
      <c r="X843" s="2498"/>
      <c r="Y843" s="2498"/>
      <c r="Z843" s="2498"/>
      <c r="AA843" s="2498"/>
      <c r="AB843" s="2498"/>
      <c r="AC843" s="2498"/>
      <c r="AD843" s="2498"/>
      <c r="AE843" s="2499"/>
      <c r="AF843" s="2503">
        <f ca="1">SUM(AF826:AK841)-AF842</f>
        <v>92</v>
      </c>
      <c r="AG843" s="2504"/>
      <c r="AH843" s="2504"/>
      <c r="AI843" s="2504"/>
      <c r="AJ843" s="2504"/>
      <c r="AK843" s="250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00"/>
      <c r="B844" s="2501"/>
      <c r="C844" s="2501"/>
      <c r="D844" s="2501"/>
      <c r="E844" s="2501"/>
      <c r="F844" s="2501"/>
      <c r="G844" s="2501"/>
      <c r="H844" s="2501"/>
      <c r="I844" s="2501"/>
      <c r="J844" s="2501"/>
      <c r="K844" s="2501"/>
      <c r="L844" s="2501"/>
      <c r="M844" s="2501"/>
      <c r="N844" s="2501"/>
      <c r="O844" s="2501"/>
      <c r="P844" s="2501"/>
      <c r="Q844" s="2501"/>
      <c r="R844" s="2501"/>
      <c r="S844" s="2501"/>
      <c r="T844" s="2501"/>
      <c r="U844" s="2501"/>
      <c r="V844" s="2501"/>
      <c r="W844" s="2501"/>
      <c r="X844" s="2501"/>
      <c r="Y844" s="2501"/>
      <c r="Z844" s="2501"/>
      <c r="AA844" s="2501"/>
      <c r="AB844" s="2501"/>
      <c r="AC844" s="2501"/>
      <c r="AD844" s="2501"/>
      <c r="AE844" s="2502"/>
      <c r="AF844" s="2506"/>
      <c r="AG844" s="2507"/>
      <c r="AH844" s="2507"/>
      <c r="AI844" s="2507"/>
      <c r="AJ844" s="2507"/>
      <c r="AK844" s="250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2026-05-18T21:35:02Z</cp:lastPrinted>
  <dcterms:created xsi:type="dcterms:W3CDTF">2007-12-27T18:26:28Z</dcterms:created>
  <dcterms:modified xsi:type="dcterms:W3CDTF">2026-05-19T18:59:30Z</dcterms:modified>
</cp:coreProperties>
</file>